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gerEdwards\Dropbox (Personal)\REC\REC\FRDC\Projects\Prawns\"/>
    </mc:Choice>
  </mc:AlternateContent>
  <xr:revisionPtr revIDLastSave="0" documentId="8_{E1C2EDF2-2881-4CD6-8F4E-D62448566C0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Fleet Data Input and Reports " sheetId="8" r:id="rId1"/>
    <sheet name="Survey Shots Data and Results " sheetId="11" r:id="rId2"/>
    <sheet name="Boat data input &amp; Reports  " sheetId="12" r:id="rId3"/>
    <sheet name="Boat GMS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3" l="1"/>
  <c r="L36" i="8" l="1"/>
  <c r="L35" i="8"/>
  <c r="K36" i="8" l="1"/>
  <c r="K37" i="8"/>
  <c r="K35" i="8"/>
  <c r="I154" i="13"/>
  <c r="H154" i="13"/>
  <c r="F154" i="13"/>
  <c r="E154" i="13"/>
  <c r="G154" i="13"/>
  <c r="D154" i="13"/>
  <c r="G153" i="13"/>
  <c r="D153" i="13"/>
  <c r="C154" i="13"/>
  <c r="D15" i="13"/>
  <c r="C152" i="13" s="1"/>
  <c r="D12" i="13"/>
  <c r="C153" i="13" s="1"/>
  <c r="F112" i="11" l="1"/>
  <c r="E112" i="11"/>
  <c r="D112" i="11"/>
  <c r="D5" i="11"/>
  <c r="F5" i="11"/>
  <c r="G35" i="8" l="1"/>
  <c r="C93" i="8"/>
  <c r="H35" i="8" l="1"/>
  <c r="G14" i="11"/>
  <c r="F37" i="8"/>
  <c r="I37" i="8" s="1"/>
  <c r="L37" i="8" s="1"/>
  <c r="F99" i="13" l="1"/>
  <c r="D99" i="13"/>
  <c r="D81" i="11"/>
  <c r="F81" i="11"/>
  <c r="O85" i="13"/>
  <c r="N85" i="13"/>
  <c r="M85" i="13"/>
  <c r="L85" i="13"/>
  <c r="K85" i="13"/>
  <c r="J85" i="13"/>
  <c r="I85" i="13"/>
  <c r="H85" i="13"/>
  <c r="G85" i="13"/>
  <c r="F85" i="13"/>
  <c r="E85" i="13"/>
  <c r="D85" i="13"/>
  <c r="C82" i="13"/>
  <c r="C81" i="13"/>
  <c r="C77" i="13"/>
  <c r="C148" i="13"/>
  <c r="C143" i="13"/>
  <c r="C142" i="13"/>
  <c r="C140" i="13"/>
  <c r="C141" i="13" s="1"/>
  <c r="C138" i="13"/>
  <c r="C137" i="13"/>
  <c r="C136" i="13"/>
  <c r="C135" i="13"/>
  <c r="F129" i="13"/>
  <c r="F131" i="13" s="1"/>
  <c r="E129" i="13"/>
  <c r="E131" i="13" s="1"/>
  <c r="D129" i="13"/>
  <c r="D131" i="13" s="1"/>
  <c r="O62" i="13"/>
  <c r="N62" i="13"/>
  <c r="M62" i="13"/>
  <c r="L62" i="13"/>
  <c r="K62" i="13"/>
  <c r="J62" i="13"/>
  <c r="I62" i="13"/>
  <c r="H62" i="13"/>
  <c r="G62" i="13"/>
  <c r="F62" i="13"/>
  <c r="E62" i="13"/>
  <c r="D62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O56" i="13"/>
  <c r="O71" i="13" s="1"/>
  <c r="N56" i="13"/>
  <c r="N71" i="13" s="1"/>
  <c r="M56" i="13"/>
  <c r="M71" i="13" s="1"/>
  <c r="L56" i="13"/>
  <c r="L71" i="13" s="1"/>
  <c r="K56" i="13"/>
  <c r="K71" i="13" s="1"/>
  <c r="J56" i="13"/>
  <c r="J71" i="13" s="1"/>
  <c r="I56" i="13"/>
  <c r="I71" i="13" s="1"/>
  <c r="H56" i="13"/>
  <c r="H71" i="13" s="1"/>
  <c r="G56" i="13"/>
  <c r="G71" i="13" s="1"/>
  <c r="F56" i="13"/>
  <c r="F71" i="13" s="1"/>
  <c r="E56" i="13"/>
  <c r="E71" i="13" s="1"/>
  <c r="D56" i="13"/>
  <c r="D71" i="13" s="1"/>
  <c r="O52" i="13"/>
  <c r="N52" i="13"/>
  <c r="M52" i="13"/>
  <c r="L52" i="13"/>
  <c r="K52" i="13"/>
  <c r="J52" i="13"/>
  <c r="I52" i="13"/>
  <c r="H52" i="13"/>
  <c r="G52" i="13"/>
  <c r="F52" i="13"/>
  <c r="E52" i="13"/>
  <c r="D52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1" i="13"/>
  <c r="C40" i="13"/>
  <c r="C38" i="13"/>
  <c r="C34" i="13"/>
  <c r="O26" i="13"/>
  <c r="O35" i="13" s="1"/>
  <c r="N26" i="13"/>
  <c r="N35" i="13" s="1"/>
  <c r="M26" i="13"/>
  <c r="M35" i="13" s="1"/>
  <c r="L26" i="13"/>
  <c r="L35" i="13" s="1"/>
  <c r="K26" i="13"/>
  <c r="K35" i="13" s="1"/>
  <c r="J26" i="13"/>
  <c r="J35" i="13" s="1"/>
  <c r="I26" i="13"/>
  <c r="I35" i="13" s="1"/>
  <c r="H26" i="13"/>
  <c r="H35" i="13" s="1"/>
  <c r="H30" i="13" s="1"/>
  <c r="H67" i="13" s="1"/>
  <c r="G26" i="13"/>
  <c r="G35" i="13" s="1"/>
  <c r="F26" i="13"/>
  <c r="F35" i="13" s="1"/>
  <c r="E26" i="13"/>
  <c r="E35" i="13" s="1"/>
  <c r="E29" i="13" s="1"/>
  <c r="D26" i="13"/>
  <c r="D35" i="13" s="1"/>
  <c r="D30" i="13" s="1"/>
  <c r="C24" i="13"/>
  <c r="C23" i="13"/>
  <c r="C22" i="13"/>
  <c r="C154" i="12"/>
  <c r="C153" i="12"/>
  <c r="D153" i="12" s="1"/>
  <c r="F148" i="12"/>
  <c r="D148" i="12"/>
  <c r="G145" i="12"/>
  <c r="F145" i="12"/>
  <c r="E145" i="12"/>
  <c r="D145" i="12"/>
  <c r="F140" i="12"/>
  <c r="C139" i="12"/>
  <c r="D139" i="12" s="1"/>
  <c r="C138" i="12"/>
  <c r="C137" i="12"/>
  <c r="F137" i="12" s="1"/>
  <c r="C135" i="12"/>
  <c r="D135" i="12" s="1"/>
  <c r="C134" i="12"/>
  <c r="C133" i="12"/>
  <c r="F133" i="12" s="1"/>
  <c r="C132" i="12"/>
  <c r="F132" i="12" s="1"/>
  <c r="C131" i="12"/>
  <c r="C130" i="12"/>
  <c r="E130" i="12" s="1"/>
  <c r="C129" i="12"/>
  <c r="G128" i="12"/>
  <c r="F128" i="12"/>
  <c r="E128" i="12"/>
  <c r="D128" i="12"/>
  <c r="G125" i="12"/>
  <c r="F125" i="12"/>
  <c r="E125" i="12"/>
  <c r="D125" i="12"/>
  <c r="C120" i="12"/>
  <c r="D120" i="12" s="1"/>
  <c r="C119" i="12"/>
  <c r="E119" i="12" s="1"/>
  <c r="C118" i="12"/>
  <c r="F118" i="12" s="1"/>
  <c r="C117" i="12"/>
  <c r="F117" i="12" s="1"/>
  <c r="C115" i="12"/>
  <c r="D115" i="12" s="1"/>
  <c r="G114" i="12"/>
  <c r="F114" i="12"/>
  <c r="E114" i="12"/>
  <c r="D114" i="12"/>
  <c r="C111" i="12"/>
  <c r="D111" i="12" s="1"/>
  <c r="E111" i="12" s="1"/>
  <c r="F111" i="12" s="1"/>
  <c r="C110" i="12"/>
  <c r="F110" i="12" s="1"/>
  <c r="C101" i="12"/>
  <c r="C100" i="12"/>
  <c r="C98" i="12"/>
  <c r="G148" i="12" s="1"/>
  <c r="C96" i="12"/>
  <c r="C95" i="12"/>
  <c r="C94" i="12"/>
  <c r="C93" i="12"/>
  <c r="D87" i="12"/>
  <c r="D86" i="12"/>
  <c r="D85" i="12"/>
  <c r="D84" i="12"/>
  <c r="D83" i="12"/>
  <c r="D82" i="12"/>
  <c r="F78" i="12"/>
  <c r="F77" i="12"/>
  <c r="F76" i="12"/>
  <c r="C48" i="12"/>
  <c r="C136" i="12" s="1"/>
  <c r="F136" i="12" s="1"/>
  <c r="F36" i="12"/>
  <c r="F37" i="12" s="1"/>
  <c r="C17" i="12"/>
  <c r="C116" i="12" s="1"/>
  <c r="G36" i="8"/>
  <c r="H36" i="8" s="1"/>
  <c r="C22" i="11"/>
  <c r="C21" i="11"/>
  <c r="C20" i="11"/>
  <c r="O24" i="11"/>
  <c r="O34" i="11" s="1"/>
  <c r="N24" i="11"/>
  <c r="N34" i="11" s="1"/>
  <c r="M24" i="11"/>
  <c r="M34" i="11" s="1"/>
  <c r="L24" i="11"/>
  <c r="L34" i="11" s="1"/>
  <c r="K24" i="11"/>
  <c r="K34" i="11" s="1"/>
  <c r="K29" i="11" s="1"/>
  <c r="J24" i="11"/>
  <c r="J34" i="11" s="1"/>
  <c r="I24" i="11"/>
  <c r="I34" i="11" s="1"/>
  <c r="H24" i="11"/>
  <c r="H34" i="11" s="1"/>
  <c r="G24" i="11"/>
  <c r="G34" i="11" s="1"/>
  <c r="G29" i="11" s="1"/>
  <c r="F24" i="11"/>
  <c r="F34" i="11" s="1"/>
  <c r="E24" i="11"/>
  <c r="E34" i="11" s="1"/>
  <c r="D24" i="11"/>
  <c r="D34" i="11" s="1"/>
  <c r="C155" i="12" l="1"/>
  <c r="D88" i="12"/>
  <c r="D138" i="12"/>
  <c r="E137" i="12"/>
  <c r="F79" i="12"/>
  <c r="E115" i="12"/>
  <c r="E134" i="12"/>
  <c r="C99" i="12"/>
  <c r="G77" i="12" s="1"/>
  <c r="G118" i="12"/>
  <c r="D119" i="12"/>
  <c r="G129" i="12"/>
  <c r="G131" i="12"/>
  <c r="G138" i="12"/>
  <c r="D140" i="12"/>
  <c r="C149" i="12"/>
  <c r="F149" i="12" s="1"/>
  <c r="F112" i="12"/>
  <c r="D118" i="12"/>
  <c r="F129" i="12"/>
  <c r="D131" i="12"/>
  <c r="E138" i="12"/>
  <c r="G37" i="8"/>
  <c r="O28" i="11"/>
  <c r="O29" i="11"/>
  <c r="O66" i="11" s="1"/>
  <c r="C85" i="13"/>
  <c r="F30" i="13"/>
  <c r="F67" i="13" s="1"/>
  <c r="F28" i="13"/>
  <c r="N30" i="13"/>
  <c r="N67" i="13" s="1"/>
  <c r="N28" i="13"/>
  <c r="N65" i="13" s="1"/>
  <c r="J30" i="13"/>
  <c r="J67" i="13" s="1"/>
  <c r="J28" i="13"/>
  <c r="C26" i="13"/>
  <c r="C46" i="13"/>
  <c r="D27" i="11"/>
  <c r="D29" i="11"/>
  <c r="D66" i="11" s="1"/>
  <c r="D28" i="11"/>
  <c r="H29" i="11"/>
  <c r="H28" i="11"/>
  <c r="H27" i="11"/>
  <c r="L29" i="11"/>
  <c r="L66" i="11" s="1"/>
  <c r="L28" i="11"/>
  <c r="L27" i="11"/>
  <c r="E29" i="11"/>
  <c r="E66" i="11" s="1"/>
  <c r="E28" i="11"/>
  <c r="E27" i="11"/>
  <c r="I29" i="11"/>
  <c r="I28" i="11"/>
  <c r="I27" i="11"/>
  <c r="M28" i="11"/>
  <c r="M27" i="11"/>
  <c r="M29" i="11"/>
  <c r="M66" i="11" s="1"/>
  <c r="F29" i="11"/>
  <c r="F66" i="11" s="1"/>
  <c r="F27" i="11"/>
  <c r="F28" i="11"/>
  <c r="J28" i="11"/>
  <c r="J29" i="11"/>
  <c r="J66" i="11" s="1"/>
  <c r="J27" i="11"/>
  <c r="N29" i="11"/>
  <c r="N66" i="11" s="1"/>
  <c r="N27" i="11"/>
  <c r="N28" i="11"/>
  <c r="G27" i="11"/>
  <c r="K27" i="11"/>
  <c r="O27" i="11"/>
  <c r="G28" i="11"/>
  <c r="K28" i="11"/>
  <c r="C71" i="13"/>
  <c r="M28" i="13"/>
  <c r="M30" i="13"/>
  <c r="M67" i="13" s="1"/>
  <c r="D67" i="13"/>
  <c r="E66" i="13"/>
  <c r="G30" i="13"/>
  <c r="G67" i="13" s="1"/>
  <c r="G29" i="13"/>
  <c r="G66" i="13" s="1"/>
  <c r="G28" i="13"/>
  <c r="K30" i="13"/>
  <c r="K67" i="13" s="1"/>
  <c r="K29" i="13"/>
  <c r="K66" i="13" s="1"/>
  <c r="K28" i="13"/>
  <c r="K65" i="13" s="1"/>
  <c r="O30" i="13"/>
  <c r="O67" i="13" s="1"/>
  <c r="O29" i="13"/>
  <c r="O66" i="13" s="1"/>
  <c r="O28" i="13"/>
  <c r="E28" i="13"/>
  <c r="E30" i="13"/>
  <c r="E67" i="13" s="1"/>
  <c r="I28" i="13"/>
  <c r="I65" i="13" s="1"/>
  <c r="I30" i="13"/>
  <c r="I67" i="13" s="1"/>
  <c r="M29" i="13"/>
  <c r="M66" i="13" s="1"/>
  <c r="D29" i="13"/>
  <c r="D28" i="13"/>
  <c r="H29" i="13"/>
  <c r="H66" i="13" s="1"/>
  <c r="H28" i="13"/>
  <c r="L29" i="13"/>
  <c r="L66" i="13" s="1"/>
  <c r="L28" i="13"/>
  <c r="I29" i="13"/>
  <c r="I66" i="13" s="1"/>
  <c r="L30" i="13"/>
  <c r="L67" i="13" s="1"/>
  <c r="F29" i="13"/>
  <c r="J29" i="13"/>
  <c r="J32" i="13" s="1"/>
  <c r="J43" i="13" s="1"/>
  <c r="N29" i="13"/>
  <c r="N66" i="13" s="1"/>
  <c r="M65" i="13"/>
  <c r="F65" i="13"/>
  <c r="J65" i="13"/>
  <c r="O65" i="13"/>
  <c r="G134" i="12"/>
  <c r="G153" i="12"/>
  <c r="E83" i="12"/>
  <c r="F83" i="12" s="1"/>
  <c r="G83" i="12" s="1"/>
  <c r="E85" i="12"/>
  <c r="F85" i="12" s="1"/>
  <c r="G85" i="12" s="1"/>
  <c r="E87" i="12"/>
  <c r="G120" i="12"/>
  <c r="G130" i="12"/>
  <c r="G137" i="12"/>
  <c r="G139" i="12"/>
  <c r="G78" i="12"/>
  <c r="C123" i="12" s="1"/>
  <c r="E123" i="12" s="1"/>
  <c r="G119" i="12"/>
  <c r="G135" i="12"/>
  <c r="G116" i="12"/>
  <c r="F116" i="12"/>
  <c r="E116" i="12"/>
  <c r="D116" i="12"/>
  <c r="G123" i="12"/>
  <c r="C146" i="12"/>
  <c r="G117" i="12"/>
  <c r="G132" i="12"/>
  <c r="G136" i="12"/>
  <c r="C141" i="12"/>
  <c r="G76" i="12"/>
  <c r="D110" i="12"/>
  <c r="C112" i="12"/>
  <c r="F115" i="12"/>
  <c r="D117" i="12"/>
  <c r="F119" i="12"/>
  <c r="E120" i="12"/>
  <c r="F130" i="12"/>
  <c r="E131" i="12"/>
  <c r="D132" i="12"/>
  <c r="G133" i="12"/>
  <c r="F134" i="12"/>
  <c r="E135" i="12"/>
  <c r="D136" i="12"/>
  <c r="F138" i="12"/>
  <c r="E139" i="12"/>
  <c r="E140" i="12"/>
  <c r="E148" i="12"/>
  <c r="D149" i="12"/>
  <c r="E153" i="12"/>
  <c r="E110" i="12"/>
  <c r="E112" i="12" s="1"/>
  <c r="G115" i="12"/>
  <c r="E117" i="12"/>
  <c r="F120" i="12"/>
  <c r="D129" i="12"/>
  <c r="F131" i="12"/>
  <c r="E132" i="12"/>
  <c r="D133" i="12"/>
  <c r="F135" i="12"/>
  <c r="E136" i="12"/>
  <c r="D137" i="12"/>
  <c r="F139" i="12"/>
  <c r="E149" i="12"/>
  <c r="F153" i="12"/>
  <c r="E118" i="12"/>
  <c r="E129" i="12"/>
  <c r="D130" i="12"/>
  <c r="E133" i="12"/>
  <c r="D134" i="12"/>
  <c r="G140" i="12"/>
  <c r="C24" i="11"/>
  <c r="D114" i="11"/>
  <c r="F114" i="11"/>
  <c r="C40" i="11"/>
  <c r="C111" i="8"/>
  <c r="D111" i="8" s="1"/>
  <c r="E111" i="8" s="1"/>
  <c r="F111" i="8" s="1"/>
  <c r="C110" i="8"/>
  <c r="O31" i="11"/>
  <c r="O42" i="11" s="1"/>
  <c r="O45" i="11"/>
  <c r="N45" i="11"/>
  <c r="M45" i="11"/>
  <c r="L45" i="11"/>
  <c r="K45" i="11"/>
  <c r="J45" i="11"/>
  <c r="I45" i="11"/>
  <c r="H45" i="11"/>
  <c r="G45" i="11"/>
  <c r="F45" i="11"/>
  <c r="E45" i="11"/>
  <c r="D45" i="11"/>
  <c r="C39" i="11"/>
  <c r="C37" i="11"/>
  <c r="K66" i="11"/>
  <c r="I66" i="11"/>
  <c r="G66" i="11"/>
  <c r="C33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O56" i="11"/>
  <c r="N56" i="11"/>
  <c r="M56" i="11"/>
  <c r="L56" i="11"/>
  <c r="K56" i="11"/>
  <c r="J56" i="11"/>
  <c r="I56" i="11"/>
  <c r="I65" i="11" s="1"/>
  <c r="H56" i="11"/>
  <c r="G56" i="11"/>
  <c r="F56" i="11"/>
  <c r="E56" i="11"/>
  <c r="E65" i="11" s="1"/>
  <c r="D56" i="11"/>
  <c r="O55" i="11"/>
  <c r="N55" i="11"/>
  <c r="M55" i="11"/>
  <c r="L55" i="11"/>
  <c r="K55" i="11"/>
  <c r="K64" i="11" s="1"/>
  <c r="J55" i="11"/>
  <c r="I55" i="11"/>
  <c r="I64" i="11" s="1"/>
  <c r="H55" i="11"/>
  <c r="G55" i="11"/>
  <c r="F55" i="11"/>
  <c r="E55" i="11"/>
  <c r="D55" i="11"/>
  <c r="D51" i="11"/>
  <c r="O51" i="11"/>
  <c r="N51" i="11"/>
  <c r="M51" i="11"/>
  <c r="L51" i="11"/>
  <c r="K51" i="11"/>
  <c r="J51" i="11"/>
  <c r="I51" i="11"/>
  <c r="H51" i="11"/>
  <c r="G51" i="11"/>
  <c r="F51" i="11"/>
  <c r="E51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126" i="11"/>
  <c r="C125" i="11"/>
  <c r="C123" i="11"/>
  <c r="C124" i="11" s="1"/>
  <c r="C121" i="11"/>
  <c r="C120" i="11"/>
  <c r="C119" i="11"/>
  <c r="C118" i="11"/>
  <c r="H64" i="11" l="1"/>
  <c r="C150" i="12"/>
  <c r="G149" i="12"/>
  <c r="H37" i="8"/>
  <c r="D80" i="11" s="1"/>
  <c r="F98" i="13"/>
  <c r="D98" i="13"/>
  <c r="F80" i="11"/>
  <c r="L64" i="11"/>
  <c r="F32" i="13"/>
  <c r="F43" i="13" s="1"/>
  <c r="K31" i="11"/>
  <c r="K42" i="11" s="1"/>
  <c r="M64" i="11"/>
  <c r="K69" i="13"/>
  <c r="K73" i="13" s="1"/>
  <c r="F65" i="11"/>
  <c r="D65" i="11"/>
  <c r="L65" i="11"/>
  <c r="L68" i="11" s="1"/>
  <c r="N64" i="11"/>
  <c r="J65" i="11"/>
  <c r="O64" i="11"/>
  <c r="O65" i="11"/>
  <c r="F31" i="11"/>
  <c r="F42" i="11" s="1"/>
  <c r="M31" i="11"/>
  <c r="M42" i="11" s="1"/>
  <c r="H31" i="11"/>
  <c r="H42" i="11" s="1"/>
  <c r="N31" i="11"/>
  <c r="N42" i="11" s="1"/>
  <c r="I31" i="11"/>
  <c r="I42" i="11" s="1"/>
  <c r="N65" i="11"/>
  <c r="G65" i="11"/>
  <c r="G31" i="11"/>
  <c r="G42" i="11" s="1"/>
  <c r="J31" i="11"/>
  <c r="J42" i="11" s="1"/>
  <c r="C27" i="11"/>
  <c r="E81" i="11" s="1"/>
  <c r="L31" i="11"/>
  <c r="L42" i="11" s="1"/>
  <c r="J66" i="13"/>
  <c r="J69" i="13" s="1"/>
  <c r="J73" i="13" s="1"/>
  <c r="E32" i="13"/>
  <c r="E43" i="13" s="1"/>
  <c r="N32" i="13"/>
  <c r="N43" i="13" s="1"/>
  <c r="G32" i="13"/>
  <c r="G43" i="13" s="1"/>
  <c r="K32" i="13"/>
  <c r="K43" i="13" s="1"/>
  <c r="E64" i="11"/>
  <c r="E68" i="11" s="1"/>
  <c r="M65" i="11"/>
  <c r="M68" i="11" s="1"/>
  <c r="H66" i="11"/>
  <c r="C66" i="11" s="1"/>
  <c r="C28" i="11"/>
  <c r="G81" i="11" s="1"/>
  <c r="E31" i="11"/>
  <c r="E42" i="11" s="1"/>
  <c r="C29" i="11"/>
  <c r="J64" i="11"/>
  <c r="G64" i="11"/>
  <c r="K65" i="11"/>
  <c r="K68" i="11" s="1"/>
  <c r="O69" i="13"/>
  <c r="O73" i="13" s="1"/>
  <c r="N69" i="13"/>
  <c r="N73" i="13" s="1"/>
  <c r="L65" i="13"/>
  <c r="L69" i="13" s="1"/>
  <c r="L73" i="13" s="1"/>
  <c r="L32" i="13"/>
  <c r="L43" i="13" s="1"/>
  <c r="E65" i="13"/>
  <c r="E69" i="13" s="1"/>
  <c r="E73" i="13" s="1"/>
  <c r="C29" i="13"/>
  <c r="F93" i="13" s="1"/>
  <c r="G65" i="13"/>
  <c r="G69" i="13" s="1"/>
  <c r="G73" i="13" s="1"/>
  <c r="H65" i="13"/>
  <c r="H69" i="13" s="1"/>
  <c r="H73" i="13" s="1"/>
  <c r="H32" i="13"/>
  <c r="H43" i="13" s="1"/>
  <c r="D66" i="13"/>
  <c r="I32" i="13"/>
  <c r="I43" i="13" s="1"/>
  <c r="F66" i="13"/>
  <c r="F69" i="13" s="1"/>
  <c r="F73" i="13" s="1"/>
  <c r="O32" i="13"/>
  <c r="O43" i="13" s="1"/>
  <c r="I69" i="13"/>
  <c r="I73" i="13" s="1"/>
  <c r="D32" i="13"/>
  <c r="C28" i="13"/>
  <c r="D93" i="13" s="1"/>
  <c r="C30" i="13"/>
  <c r="M69" i="13"/>
  <c r="M73" i="13" s="1"/>
  <c r="C67" i="13"/>
  <c r="M32" i="13"/>
  <c r="M43" i="13" s="1"/>
  <c r="G79" i="12"/>
  <c r="C122" i="12" s="1"/>
  <c r="E122" i="12" s="1"/>
  <c r="D123" i="12"/>
  <c r="E88" i="12"/>
  <c r="F87" i="12"/>
  <c r="G87" i="12" s="1"/>
  <c r="G88" i="12" s="1"/>
  <c r="C121" i="12" s="1"/>
  <c r="D121" i="12" s="1"/>
  <c r="F123" i="12"/>
  <c r="F141" i="12"/>
  <c r="E141" i="12"/>
  <c r="D141" i="12"/>
  <c r="G141" i="12"/>
  <c r="D146" i="12"/>
  <c r="G146" i="12"/>
  <c r="F146" i="12"/>
  <c r="E146" i="12"/>
  <c r="E150" i="12"/>
  <c r="C151" i="12"/>
  <c r="D150" i="12"/>
  <c r="G150" i="12"/>
  <c r="F150" i="12"/>
  <c r="D112" i="12"/>
  <c r="I110" i="12"/>
  <c r="G112" i="12"/>
  <c r="F110" i="8"/>
  <c r="F112" i="8" s="1"/>
  <c r="C112" i="8"/>
  <c r="F64" i="11"/>
  <c r="D64" i="11"/>
  <c r="D68" i="11" s="1"/>
  <c r="D31" i="11"/>
  <c r="D42" i="11" s="1"/>
  <c r="H65" i="11"/>
  <c r="E114" i="11"/>
  <c r="D76" i="11"/>
  <c r="D70" i="11"/>
  <c r="I70" i="11"/>
  <c r="L70" i="11"/>
  <c r="E70" i="11"/>
  <c r="M70" i="11"/>
  <c r="H70" i="11"/>
  <c r="F70" i="11"/>
  <c r="J70" i="11"/>
  <c r="N70" i="11"/>
  <c r="G70" i="11"/>
  <c r="K70" i="11"/>
  <c r="O70" i="11"/>
  <c r="C45" i="11"/>
  <c r="I68" i="11"/>
  <c r="G114" i="8"/>
  <c r="F114" i="8"/>
  <c r="E114" i="8"/>
  <c r="D114" i="8"/>
  <c r="G145" i="8"/>
  <c r="F145" i="8"/>
  <c r="E145" i="8"/>
  <c r="D145" i="8"/>
  <c r="E128" i="8"/>
  <c r="E125" i="8"/>
  <c r="G128" i="8"/>
  <c r="F128" i="8"/>
  <c r="D128" i="8"/>
  <c r="G125" i="8"/>
  <c r="F125" i="8"/>
  <c r="D125" i="8"/>
  <c r="F122" i="12" l="1"/>
  <c r="G122" i="12"/>
  <c r="N68" i="11"/>
  <c r="D122" i="12"/>
  <c r="F68" i="11"/>
  <c r="J68" i="11"/>
  <c r="J72" i="11" s="1"/>
  <c r="O68" i="11"/>
  <c r="C31" i="11"/>
  <c r="G68" i="11"/>
  <c r="G72" i="11" s="1"/>
  <c r="I80" i="11"/>
  <c r="J80" i="11" s="1"/>
  <c r="C65" i="11"/>
  <c r="F86" i="11"/>
  <c r="G86" i="11" s="1"/>
  <c r="G80" i="11"/>
  <c r="C42" i="11"/>
  <c r="F76" i="11"/>
  <c r="D86" i="11"/>
  <c r="E86" i="11" s="1"/>
  <c r="E80" i="11"/>
  <c r="I93" i="13"/>
  <c r="J93" i="13" s="1"/>
  <c r="C66" i="13"/>
  <c r="D69" i="13"/>
  <c r="C65" i="13"/>
  <c r="D104" i="13"/>
  <c r="F104" i="13"/>
  <c r="D43" i="13"/>
  <c r="C43" i="13" s="1"/>
  <c r="C32" i="13"/>
  <c r="G121" i="12"/>
  <c r="F88" i="12"/>
  <c r="E121" i="12"/>
  <c r="C124" i="12"/>
  <c r="C126" i="12" s="1"/>
  <c r="G126" i="12" s="1"/>
  <c r="C105" i="12" s="1"/>
  <c r="F121" i="12"/>
  <c r="C159" i="12"/>
  <c r="D151" i="12"/>
  <c r="C157" i="12"/>
  <c r="G151" i="12"/>
  <c r="F151" i="12"/>
  <c r="E151" i="12"/>
  <c r="C64" i="11"/>
  <c r="D77" i="11" s="1"/>
  <c r="D78" i="11" s="1"/>
  <c r="D87" i="11" s="1"/>
  <c r="E72" i="11"/>
  <c r="H68" i="11"/>
  <c r="H72" i="11" s="1"/>
  <c r="I72" i="11"/>
  <c r="D72" i="11"/>
  <c r="L72" i="11"/>
  <c r="M72" i="11"/>
  <c r="F72" i="11"/>
  <c r="K72" i="11"/>
  <c r="C70" i="11"/>
  <c r="O72" i="11"/>
  <c r="N72" i="11"/>
  <c r="C154" i="8"/>
  <c r="C153" i="8"/>
  <c r="C139" i="8"/>
  <c r="F139" i="8" s="1"/>
  <c r="C138" i="8"/>
  <c r="F138" i="8" s="1"/>
  <c r="C137" i="8"/>
  <c r="F137" i="8" s="1"/>
  <c r="C135" i="8"/>
  <c r="F135" i="8" s="1"/>
  <c r="C134" i="8"/>
  <c r="F134" i="8" s="1"/>
  <c r="C133" i="8"/>
  <c r="F133" i="8" s="1"/>
  <c r="C132" i="8"/>
  <c r="F132" i="8" s="1"/>
  <c r="C131" i="8"/>
  <c r="F131" i="8" s="1"/>
  <c r="C130" i="8"/>
  <c r="F130" i="8" s="1"/>
  <c r="C129" i="8"/>
  <c r="F129" i="8" s="1"/>
  <c r="C48" i="8"/>
  <c r="C136" i="8" s="1"/>
  <c r="C120" i="8"/>
  <c r="F120" i="8" s="1"/>
  <c r="C119" i="8"/>
  <c r="F119" i="8" s="1"/>
  <c r="C118" i="8"/>
  <c r="F118" i="8" s="1"/>
  <c r="C117" i="8"/>
  <c r="F117" i="8" s="1"/>
  <c r="C115" i="8"/>
  <c r="F115" i="8" s="1"/>
  <c r="F78" i="8"/>
  <c r="F77" i="8"/>
  <c r="F76" i="8"/>
  <c r="D87" i="8"/>
  <c r="D86" i="8"/>
  <c r="D85" i="8"/>
  <c r="D84" i="8"/>
  <c r="D83" i="8"/>
  <c r="D82" i="8"/>
  <c r="C17" i="8"/>
  <c r="C116" i="8" s="1"/>
  <c r="C96" i="8"/>
  <c r="F153" i="8"/>
  <c r="F148" i="8"/>
  <c r="F140" i="8"/>
  <c r="C101" i="8"/>
  <c r="E110" i="8" s="1"/>
  <c r="E112" i="8" s="1"/>
  <c r="C100" i="8"/>
  <c r="D110" i="8" s="1"/>
  <c r="C95" i="8"/>
  <c r="C98" i="8"/>
  <c r="C99" i="8" s="1"/>
  <c r="F77" i="11" l="1"/>
  <c r="F78" i="11" s="1"/>
  <c r="F88" i="11" s="1"/>
  <c r="G88" i="11" s="1"/>
  <c r="I76" i="11"/>
  <c r="J76" i="11" s="1"/>
  <c r="C68" i="11"/>
  <c r="K80" i="11"/>
  <c r="E78" i="11"/>
  <c r="I86" i="11"/>
  <c r="G104" i="13"/>
  <c r="F94" i="13"/>
  <c r="E104" i="13"/>
  <c r="I104" i="13"/>
  <c r="D94" i="13"/>
  <c r="C69" i="13"/>
  <c r="I94" i="13" s="1"/>
  <c r="J94" i="13" s="1"/>
  <c r="D73" i="13"/>
  <c r="C73" i="13" s="1"/>
  <c r="D124" i="12"/>
  <c r="E126" i="12"/>
  <c r="C103" i="12" s="1"/>
  <c r="C143" i="12"/>
  <c r="F143" i="12" s="1"/>
  <c r="F124" i="12"/>
  <c r="C106" i="12"/>
  <c r="D126" i="12"/>
  <c r="C102" i="12" s="1"/>
  <c r="F126" i="12"/>
  <c r="C104" i="12" s="1"/>
  <c r="E124" i="12"/>
  <c r="G124" i="12"/>
  <c r="D112" i="8"/>
  <c r="I110" i="8"/>
  <c r="G78" i="11"/>
  <c r="D88" i="11"/>
  <c r="E88" i="11" s="1"/>
  <c r="F87" i="11"/>
  <c r="I87" i="11" s="1"/>
  <c r="J87" i="11" s="1"/>
  <c r="E87" i="11"/>
  <c r="C72" i="11"/>
  <c r="C131" i="11"/>
  <c r="D88" i="8"/>
  <c r="E83" i="8"/>
  <c r="G76" i="8"/>
  <c r="G78" i="8"/>
  <c r="C123" i="8" s="1"/>
  <c r="G123" i="8" s="1"/>
  <c r="E87" i="8"/>
  <c r="F87" i="8" s="1"/>
  <c r="G87" i="8" s="1"/>
  <c r="E120" i="8"/>
  <c r="E85" i="8"/>
  <c r="F85" i="8" s="1"/>
  <c r="G85" i="8" s="1"/>
  <c r="G77" i="8"/>
  <c r="D117" i="8"/>
  <c r="G112" i="8"/>
  <c r="D131" i="8"/>
  <c r="D135" i="8"/>
  <c r="D138" i="8"/>
  <c r="G115" i="8"/>
  <c r="G117" i="8"/>
  <c r="G118" i="8"/>
  <c r="G119" i="8"/>
  <c r="G120" i="8"/>
  <c r="E129" i="8"/>
  <c r="E130" i="8"/>
  <c r="E131" i="8"/>
  <c r="E132" i="8"/>
  <c r="E133" i="8"/>
  <c r="E134" i="8"/>
  <c r="E135" i="8"/>
  <c r="E137" i="8"/>
  <c r="E138" i="8"/>
  <c r="E139" i="8"/>
  <c r="E140" i="8"/>
  <c r="E148" i="8"/>
  <c r="E153" i="8"/>
  <c r="D130" i="8"/>
  <c r="D133" i="8"/>
  <c r="D140" i="8"/>
  <c r="D118" i="8"/>
  <c r="D119" i="8"/>
  <c r="D120" i="8"/>
  <c r="D129" i="8"/>
  <c r="D132" i="8"/>
  <c r="D134" i="8"/>
  <c r="D137" i="8"/>
  <c r="D139" i="8"/>
  <c r="D148" i="8"/>
  <c r="D153" i="8"/>
  <c r="D115" i="8"/>
  <c r="E115" i="8"/>
  <c r="E117" i="8"/>
  <c r="E118" i="8"/>
  <c r="E119" i="8"/>
  <c r="G129" i="8"/>
  <c r="G130" i="8"/>
  <c r="G131" i="8"/>
  <c r="G132" i="8"/>
  <c r="G133" i="8"/>
  <c r="G134" i="8"/>
  <c r="G135" i="8"/>
  <c r="G137" i="8"/>
  <c r="G138" i="8"/>
  <c r="G139" i="8"/>
  <c r="G140" i="8"/>
  <c r="G148" i="8"/>
  <c r="G153" i="8"/>
  <c r="F79" i="8"/>
  <c r="C94" i="8"/>
  <c r="C155" i="8"/>
  <c r="C149" i="8"/>
  <c r="G143" i="12" l="1"/>
  <c r="D143" i="12"/>
  <c r="I77" i="11"/>
  <c r="J77" i="11" s="1"/>
  <c r="I78" i="11"/>
  <c r="J78" i="11" s="1"/>
  <c r="J86" i="11"/>
  <c r="K86" i="11"/>
  <c r="D101" i="13"/>
  <c r="F101" i="13"/>
  <c r="G101" i="13" s="1"/>
  <c r="G98" i="13"/>
  <c r="D103" i="13"/>
  <c r="F103" i="13"/>
  <c r="G103" i="13" s="1"/>
  <c r="F100" i="13"/>
  <c r="G100" i="13" s="1"/>
  <c r="D100" i="13"/>
  <c r="F102" i="13"/>
  <c r="G102" i="13" s="1"/>
  <c r="D102" i="13"/>
  <c r="E95" i="13"/>
  <c r="D95" i="13"/>
  <c r="J104" i="13"/>
  <c r="K104" i="13"/>
  <c r="F95" i="13"/>
  <c r="G95" i="13"/>
  <c r="C147" i="12"/>
  <c r="D147" i="12" s="1"/>
  <c r="E143" i="12"/>
  <c r="E147" i="12"/>
  <c r="F85" i="11"/>
  <c r="G85" i="11" s="1"/>
  <c r="D85" i="11"/>
  <c r="D84" i="11"/>
  <c r="F84" i="11"/>
  <c r="G84" i="11" s="1"/>
  <c r="F83" i="11"/>
  <c r="G83" i="11" s="1"/>
  <c r="D83" i="11"/>
  <c r="F82" i="11"/>
  <c r="G82" i="11" s="1"/>
  <c r="D82" i="11"/>
  <c r="I88" i="11"/>
  <c r="J88" i="11" s="1"/>
  <c r="K78" i="11"/>
  <c r="G87" i="11"/>
  <c r="K87" i="11"/>
  <c r="E123" i="8"/>
  <c r="F123" i="8"/>
  <c r="D123" i="8"/>
  <c r="G79" i="8"/>
  <c r="C122" i="8" s="1"/>
  <c r="C150" i="8"/>
  <c r="G149" i="8"/>
  <c r="F149" i="8"/>
  <c r="D149" i="8"/>
  <c r="E149" i="8"/>
  <c r="C141" i="8"/>
  <c r="G136" i="8"/>
  <c r="F136" i="8"/>
  <c r="D136" i="8"/>
  <c r="E136" i="8"/>
  <c r="E116" i="8"/>
  <c r="F116" i="8"/>
  <c r="D116" i="8"/>
  <c r="G116" i="8"/>
  <c r="E88" i="8"/>
  <c r="C146" i="8"/>
  <c r="F83" i="8"/>
  <c r="F147" i="12" l="1"/>
  <c r="G147" i="12"/>
  <c r="G99" i="13"/>
  <c r="I100" i="13"/>
  <c r="E100" i="13"/>
  <c r="I102" i="13"/>
  <c r="E102" i="13"/>
  <c r="I98" i="13"/>
  <c r="E98" i="13"/>
  <c r="I103" i="13"/>
  <c r="E103" i="13"/>
  <c r="I101" i="13"/>
  <c r="E101" i="13"/>
  <c r="F105" i="13"/>
  <c r="F106" i="13"/>
  <c r="G106" i="13" s="1"/>
  <c r="D106" i="13"/>
  <c r="D105" i="13"/>
  <c r="I95" i="13"/>
  <c r="D89" i="11"/>
  <c r="I84" i="11"/>
  <c r="E84" i="11"/>
  <c r="I82" i="11"/>
  <c r="E82" i="11"/>
  <c r="I83" i="11"/>
  <c r="E83" i="11"/>
  <c r="E85" i="11"/>
  <c r="I85" i="11"/>
  <c r="K88" i="11"/>
  <c r="G141" i="8"/>
  <c r="D141" i="8"/>
  <c r="F141" i="8"/>
  <c r="E141" i="8"/>
  <c r="E122" i="8"/>
  <c r="D122" i="8"/>
  <c r="G122" i="8"/>
  <c r="F122" i="8"/>
  <c r="G146" i="8"/>
  <c r="D146" i="8"/>
  <c r="F146" i="8"/>
  <c r="E146" i="8"/>
  <c r="C151" i="8"/>
  <c r="G150" i="8"/>
  <c r="F150" i="8"/>
  <c r="E150" i="8"/>
  <c r="D150" i="8"/>
  <c r="G83" i="8"/>
  <c r="G88" i="8" s="1"/>
  <c r="C121" i="8" s="1"/>
  <c r="F88" i="8"/>
  <c r="F89" i="11" l="1"/>
  <c r="F90" i="11" s="1"/>
  <c r="C129" i="11" s="1"/>
  <c r="J101" i="13"/>
  <c r="K101" i="13"/>
  <c r="J98" i="13"/>
  <c r="K98" i="13"/>
  <c r="I99" i="13"/>
  <c r="E99" i="13"/>
  <c r="J100" i="13"/>
  <c r="K100" i="13"/>
  <c r="J103" i="13"/>
  <c r="K103" i="13"/>
  <c r="J102" i="13"/>
  <c r="K102" i="13"/>
  <c r="E105" i="13"/>
  <c r="I105" i="13"/>
  <c r="D107" i="13"/>
  <c r="D109" i="13" s="1"/>
  <c r="C144" i="13" s="1"/>
  <c r="I106" i="13"/>
  <c r="E106" i="13"/>
  <c r="G105" i="13"/>
  <c r="G107" i="13" s="1"/>
  <c r="G109" i="13" s="1"/>
  <c r="C147" i="13" s="1"/>
  <c r="F107" i="13"/>
  <c r="F109" i="13" s="1"/>
  <c r="C146" i="13" s="1"/>
  <c r="K95" i="13"/>
  <c r="J95" i="13"/>
  <c r="J83" i="11"/>
  <c r="K83" i="11"/>
  <c r="J85" i="11"/>
  <c r="K85" i="11"/>
  <c r="J84" i="11"/>
  <c r="K84" i="11"/>
  <c r="E89" i="11"/>
  <c r="I89" i="11"/>
  <c r="D90" i="11"/>
  <c r="C127" i="11" s="1"/>
  <c r="J82" i="11"/>
  <c r="K82" i="11"/>
  <c r="E121" i="8"/>
  <c r="D121" i="8"/>
  <c r="F121" i="8"/>
  <c r="G121" i="8"/>
  <c r="G151" i="8"/>
  <c r="D151" i="8"/>
  <c r="F151" i="8"/>
  <c r="E151" i="8"/>
  <c r="C157" i="8"/>
  <c r="C159" i="8"/>
  <c r="C124" i="8"/>
  <c r="E90" i="11" l="1"/>
  <c r="C128" i="11" s="1"/>
  <c r="G89" i="11"/>
  <c r="G90" i="11" s="1"/>
  <c r="C130" i="11" s="1"/>
  <c r="J99" i="13"/>
  <c r="K99" i="13"/>
  <c r="K105" i="13"/>
  <c r="J105" i="13"/>
  <c r="I107" i="13"/>
  <c r="I109" i="13" s="1"/>
  <c r="K106" i="13"/>
  <c r="J106" i="13"/>
  <c r="E107" i="13"/>
  <c r="E109" i="13" s="1"/>
  <c r="C145" i="13" s="1"/>
  <c r="I90" i="11"/>
  <c r="D124" i="8"/>
  <c r="G124" i="8"/>
  <c r="F124" i="8"/>
  <c r="E124" i="8"/>
  <c r="C143" i="8"/>
  <c r="C126" i="8"/>
  <c r="C106" i="8" s="1"/>
  <c r="K89" i="11" l="1"/>
  <c r="K90" i="11" s="1"/>
  <c r="J89" i="11"/>
  <c r="J90" i="11" s="1"/>
  <c r="J107" i="13"/>
  <c r="J109" i="13" s="1"/>
  <c r="K107" i="13"/>
  <c r="K109" i="13" s="1"/>
  <c r="G126" i="8"/>
  <c r="C105" i="8" s="1"/>
  <c r="F126" i="8"/>
  <c r="C104" i="8" s="1"/>
  <c r="E126" i="8"/>
  <c r="C103" i="8" s="1"/>
  <c r="D126" i="8"/>
  <c r="C102" i="8" s="1"/>
  <c r="C147" i="8"/>
  <c r="G143" i="8"/>
  <c r="D143" i="8"/>
  <c r="F143" i="8"/>
  <c r="E143" i="8"/>
  <c r="G147" i="8" l="1"/>
  <c r="F147" i="8"/>
  <c r="E147" i="8"/>
  <c r="D14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Carlin</author>
    <author>Roger Edwards</author>
  </authors>
  <commentList>
    <comment ref="C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Lisa Carlin:</t>
        </r>
        <r>
          <rPr>
            <sz val="9"/>
            <color indexed="81"/>
            <rFont val="Tahoma"/>
            <family val="2"/>
          </rPr>
          <t xml:space="preserve">
Average of 8 shots per night (Simon Clark pers. Comm.)</t>
        </r>
      </text>
    </comment>
    <comment ref="F35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Roger Edwards:</t>
        </r>
        <r>
          <rPr>
            <sz val="9"/>
            <color indexed="81"/>
            <rFont val="Tahoma"/>
            <family val="2"/>
          </rPr>
          <t xml:space="preserve">
/shot
</t>
        </r>
      </text>
    </comment>
    <comment ref="G3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Lisa Carlin:</t>
        </r>
        <r>
          <rPr>
            <sz val="9"/>
            <color indexed="81"/>
            <rFont val="Tahoma"/>
            <family val="2"/>
          </rPr>
          <t xml:space="preserve">
Need to include fuel rebate &amp; check price</t>
        </r>
      </text>
    </comment>
    <comment ref="F36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Roger Edwards:</t>
        </r>
        <r>
          <rPr>
            <sz val="9"/>
            <color indexed="81"/>
            <rFont val="Tahoma"/>
            <family val="2"/>
          </rPr>
          <t xml:space="preserve">
/night</t>
        </r>
      </text>
    </comment>
    <comment ref="F3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Roger Edwards:</t>
        </r>
        <r>
          <rPr>
            <sz val="9"/>
            <color indexed="81"/>
            <rFont val="Tahoma"/>
            <family val="2"/>
          </rPr>
          <t xml:space="preserve">
km/hr
</t>
        </r>
      </text>
    </comment>
    <comment ref="H37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Roger Edwards:</t>
        </r>
        <r>
          <rPr>
            <sz val="9"/>
            <color indexed="81"/>
            <rFont val="Tahoma"/>
            <family val="2"/>
          </rPr>
          <t xml:space="preserve">
/km</t>
        </r>
      </text>
    </comment>
    <comment ref="I37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Roger Edwards:</t>
        </r>
        <r>
          <rPr>
            <sz val="9"/>
            <color indexed="81"/>
            <rFont val="Tahoma"/>
            <family val="2"/>
          </rPr>
          <t xml:space="preserve">
/km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 Edwards</author>
  </authors>
  <commentList>
    <comment ref="G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Roger Edwards:</t>
        </r>
        <r>
          <rPr>
            <sz val="9"/>
            <color indexed="81"/>
            <rFont val="Tahoma"/>
            <family val="2"/>
          </rPr>
          <t xml:space="preserve">
need progrmmer formula off GPS
</t>
        </r>
      </text>
    </comment>
    <comment ref="G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Roger Edwards:</t>
        </r>
        <r>
          <rPr>
            <sz val="9"/>
            <color indexed="81"/>
            <rFont val="Tahoma"/>
            <family val="2"/>
          </rPr>
          <t xml:space="preserve">
need progrmmer formula off GPS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Carlin</author>
  </authors>
  <commentList>
    <comment ref="C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Lisa Carlin:</t>
        </r>
        <r>
          <rPr>
            <sz val="9"/>
            <color indexed="81"/>
            <rFont val="Tahoma"/>
            <family val="2"/>
          </rPr>
          <t xml:space="preserve">
Average of 8 shots per night (Simon Clark pers. Comm.)</t>
        </r>
      </text>
    </comment>
    <comment ref="F3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Lisa Carlin:</t>
        </r>
        <r>
          <rPr>
            <sz val="9"/>
            <color indexed="81"/>
            <rFont val="Tahoma"/>
            <family val="2"/>
          </rPr>
          <t xml:space="preserve">
Need to include fuel rebate &amp; check price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Carlin</author>
  </authors>
  <commentList>
    <comment ref="D1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Lisa Carlin:</t>
        </r>
        <r>
          <rPr>
            <sz val="9"/>
            <color indexed="81"/>
            <rFont val="Tahoma"/>
            <family val="2"/>
          </rPr>
          <t xml:space="preserve">
Should equal the end of the last shot (here it equals end of shot 2 as there are 2 shots</t>
        </r>
      </text>
    </comment>
    <comment ref="D1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Lisa Carlin:</t>
        </r>
        <r>
          <rPr>
            <sz val="9"/>
            <color indexed="81"/>
            <rFont val="Tahoma"/>
            <family val="2"/>
          </rPr>
          <t xml:space="preserve">
Should equal the end of the last shot (here it equals end of shot 2 as there are 2 </t>
        </r>
      </text>
    </comment>
  </commentList>
</comments>
</file>

<file path=xl/sharedStrings.xml><?xml version="1.0" encoding="utf-8"?>
<sst xmlns="http://schemas.openxmlformats.org/spreadsheetml/2006/main" count="1196" uniqueCount="305">
  <si>
    <t>Fuel</t>
  </si>
  <si>
    <t>Trawling</t>
  </si>
  <si>
    <t>F1</t>
  </si>
  <si>
    <t>Fast steaming</t>
  </si>
  <si>
    <t>F2</t>
  </si>
  <si>
    <t>Slow steaming</t>
  </si>
  <si>
    <t>F3</t>
  </si>
  <si>
    <t>Labour</t>
  </si>
  <si>
    <t>Packaging</t>
  </si>
  <si>
    <t>B1</t>
  </si>
  <si>
    <t>B2</t>
  </si>
  <si>
    <t>B3</t>
  </si>
  <si>
    <t>Variable Costs</t>
  </si>
  <si>
    <t>Fixed Costs</t>
  </si>
  <si>
    <t>Skipper</t>
  </si>
  <si>
    <t>L1</t>
  </si>
  <si>
    <t>L2</t>
  </si>
  <si>
    <t>Price</t>
  </si>
  <si>
    <t>Cooked</t>
  </si>
  <si>
    <t>U6</t>
  </si>
  <si>
    <t>U8</t>
  </si>
  <si>
    <t>10/15</t>
  </si>
  <si>
    <t>16/20</t>
  </si>
  <si>
    <t>30+</t>
  </si>
  <si>
    <t>S&amp;B</t>
  </si>
  <si>
    <t>15/25</t>
  </si>
  <si>
    <t>9/12</t>
  </si>
  <si>
    <t>13/15</t>
  </si>
  <si>
    <t>21/25</t>
  </si>
  <si>
    <t>Green</t>
  </si>
  <si>
    <t>Price per box</t>
  </si>
  <si>
    <t>Number of boxes</t>
  </si>
  <si>
    <t>Rest of crew</t>
  </si>
  <si>
    <t>Other</t>
  </si>
  <si>
    <t>L3</t>
  </si>
  <si>
    <t>Price/L</t>
  </si>
  <si>
    <t>GVP ($m)</t>
  </si>
  <si>
    <t>Unaid variable labour</t>
  </si>
  <si>
    <t>Shots/night</t>
  </si>
  <si>
    <t>Trips per boat per year</t>
  </si>
  <si>
    <t>(1)</t>
  </si>
  <si>
    <t xml:space="preserve">  Fuel</t>
  </si>
  <si>
    <t xml:space="preserve">  Refrigeration expenses</t>
  </si>
  <si>
    <t xml:space="preserve">  Provisions</t>
  </si>
  <si>
    <t xml:space="preserve">  Labour - paid</t>
  </si>
  <si>
    <t>(2)</t>
  </si>
  <si>
    <t xml:space="preserve">  Other</t>
  </si>
  <si>
    <t>(3)</t>
  </si>
  <si>
    <t>Total Variable Costs</t>
  </si>
  <si>
    <t xml:space="preserve">  Licence Fee </t>
  </si>
  <si>
    <t xml:space="preserve">  Insurance</t>
  </si>
  <si>
    <t>(4)</t>
  </si>
  <si>
    <t xml:space="preserve">  Interest</t>
  </si>
  <si>
    <t>(5)</t>
  </si>
  <si>
    <t xml:space="preserve">  Legal &amp; Accounting</t>
  </si>
  <si>
    <t xml:space="preserve">  Telephone etc.</t>
  </si>
  <si>
    <t xml:space="preserve">  Slipping, Mooring and Boat Survey</t>
  </si>
  <si>
    <t xml:space="preserve">  Travel</t>
  </si>
  <si>
    <t xml:space="preserve">  Office &amp; Admin</t>
  </si>
  <si>
    <t>(7)</t>
  </si>
  <si>
    <t>Total Fixed Costs</t>
  </si>
  <si>
    <t>(8)</t>
  </si>
  <si>
    <t>Boat Gross Margin (1 - 3)</t>
  </si>
  <si>
    <t>(9)</t>
  </si>
  <si>
    <t>Total Unpaid Labour (2 + 5)</t>
  </si>
  <si>
    <t>Gross Operating Surplus (1 - 8 + 9)</t>
  </si>
  <si>
    <t>(10)</t>
  </si>
  <si>
    <t>Boat Cash Income (1 - 8)</t>
  </si>
  <si>
    <t>(11)</t>
  </si>
  <si>
    <t>Depreciation</t>
  </si>
  <si>
    <t>(12)</t>
  </si>
  <si>
    <t>Boat Business Profit (10 - 11)</t>
  </si>
  <si>
    <t>(13)</t>
  </si>
  <si>
    <t>Profit at Full Equity (12 + 4 )</t>
  </si>
  <si>
    <t>Boat Capital</t>
  </si>
  <si>
    <t>(14)</t>
  </si>
  <si>
    <t xml:space="preserve">  Fishing Gear &amp; Equip</t>
  </si>
  <si>
    <t xml:space="preserve">  Licence Value</t>
  </si>
  <si>
    <t>(15)</t>
  </si>
  <si>
    <t>Total Boat Capital</t>
  </si>
  <si>
    <t>Rate of Return on Fishing Gear &amp; Equip (13 / 14 * 100)</t>
  </si>
  <si>
    <t>Rate of Return on Total Boat Capital    (13 / 15 * 100)</t>
  </si>
  <si>
    <t>U10</t>
  </si>
  <si>
    <t>21/30</t>
  </si>
  <si>
    <t xml:space="preserve">  Repairs &amp; Maintenance</t>
  </si>
  <si>
    <t xml:space="preserve"> </t>
  </si>
  <si>
    <t>Total Boat Cash Costs (3 + 7-11)</t>
  </si>
  <si>
    <t xml:space="preserve">  Labour - unpaid</t>
  </si>
  <si>
    <t>Box size (3kg)</t>
  </si>
  <si>
    <t xml:space="preserve">Dropdown list </t>
  </si>
  <si>
    <t>Box size (5kg)</t>
  </si>
  <si>
    <t xml:space="preserve">Grade </t>
  </si>
  <si>
    <t>Box size (10kg)</t>
  </si>
  <si>
    <t>Boat Nights per year</t>
  </si>
  <si>
    <t>Boat Nights per trip</t>
  </si>
  <si>
    <t>Boat Shots per year</t>
  </si>
  <si>
    <t>a</t>
  </si>
  <si>
    <t>Average Price ($/kg)</t>
  </si>
  <si>
    <t>b</t>
  </si>
  <si>
    <t>kgs</t>
  </si>
  <si>
    <t>Boxes</t>
  </si>
  <si>
    <t>Cost</t>
  </si>
  <si>
    <t>New Costs</t>
  </si>
  <si>
    <t>Totals</t>
  </si>
  <si>
    <t>$/box &amp; % catch</t>
  </si>
  <si>
    <t>%/catch value</t>
  </si>
  <si>
    <t>/shot</t>
  </si>
  <si>
    <t>/trip</t>
  </si>
  <si>
    <t>/kg</t>
  </si>
  <si>
    <t>/night</t>
  </si>
  <si>
    <t>Catch/boat per year</t>
  </si>
  <si>
    <t>Total Shots</t>
  </si>
  <si>
    <t>Total Trips</t>
  </si>
  <si>
    <t>Boats</t>
  </si>
  <si>
    <t>Total Nights</t>
  </si>
  <si>
    <t>Boat Gross Income</t>
  </si>
  <si>
    <t>Total Catch (t)</t>
  </si>
  <si>
    <t>Formula</t>
  </si>
  <si>
    <t>Packaging Cost Calculation</t>
  </si>
  <si>
    <t>Labour  Cost Calculation</t>
  </si>
  <si>
    <t>% boxes</t>
  </si>
  <si>
    <t>$/box</t>
  </si>
  <si>
    <t>B4</t>
  </si>
  <si>
    <t>kgs/box (default)</t>
  </si>
  <si>
    <t>L4</t>
  </si>
  <si>
    <t>Crew type (default)</t>
  </si>
  <si>
    <t>Fleet Manager enters Econsearch data or estimates/projections</t>
  </si>
  <si>
    <t>Box  code</t>
  </si>
  <si>
    <t>Labour code</t>
  </si>
  <si>
    <t>% catch value (default)</t>
  </si>
  <si>
    <t>New Cost</t>
  </si>
  <si>
    <t>Variable Costs (must be able to add new costs)</t>
  </si>
  <si>
    <t>Total Boat Gross Income</t>
  </si>
  <si>
    <t>Drop down box input - need to be able to add new items</t>
  </si>
  <si>
    <t>Fixed Costs (must be able to add new costs)</t>
  </si>
  <si>
    <t>must = 100%</t>
  </si>
  <si>
    <t>Fleet</t>
  </si>
  <si>
    <t>Boat</t>
  </si>
  <si>
    <t>Gross Margin/shot</t>
  </si>
  <si>
    <t>Gross Margin/night</t>
  </si>
  <si>
    <t>Gross Margin/trip</t>
  </si>
  <si>
    <t>Gross Margin/kg</t>
  </si>
  <si>
    <t>Gross Margin/boat</t>
  </si>
  <si>
    <t>need to able to enter new ox sizes and grades</t>
  </si>
  <si>
    <t>Industry Financial Data - table report</t>
  </si>
  <si>
    <t>Fleet &amp; Boat Summary Report</t>
  </si>
  <si>
    <t>Indutsry Structure</t>
  </si>
  <si>
    <t xml:space="preserve">Grade Prices </t>
  </si>
  <si>
    <t>Drop down data input headings that expand with the detail</t>
  </si>
  <si>
    <t>need a summary report - expand for detail selecting heading need to be able to navigate back to these data input areas from anywhere in the app.</t>
  </si>
  <si>
    <t xml:space="preserve">Drop down box input </t>
  </si>
  <si>
    <t>Survey Actual Catch by shot</t>
  </si>
  <si>
    <t>record each shot by location</t>
  </si>
  <si>
    <t xml:space="preserve">Box size </t>
  </si>
  <si>
    <t>Select (default 5kg)</t>
  </si>
  <si>
    <t>Survey Structure (only fleet manager can change)</t>
  </si>
  <si>
    <t>Select (default cooked)</t>
  </si>
  <si>
    <t>Processing</t>
  </si>
  <si>
    <t xml:space="preserve">cooked </t>
  </si>
  <si>
    <t>green</t>
  </si>
  <si>
    <t xml:space="preserve">Populated from Industry data </t>
  </si>
  <si>
    <t>DEFAULT</t>
  </si>
  <si>
    <t>Skipper records actual end of night across all shots (KGS)</t>
  </si>
  <si>
    <t>Shot 1</t>
  </si>
  <si>
    <t>Shot 2</t>
  </si>
  <si>
    <t>Shot 3</t>
  </si>
  <si>
    <t>etc</t>
  </si>
  <si>
    <t>Income Calculations                                  Shot 1</t>
  </si>
  <si>
    <t>Skipper extimates by shot (kg) Shot 1</t>
  </si>
  <si>
    <t>Totals kgs</t>
  </si>
  <si>
    <t xml:space="preserve">Survey </t>
  </si>
  <si>
    <t xml:space="preserve">Other </t>
  </si>
  <si>
    <t>Record each shot by location</t>
  </si>
  <si>
    <t xml:space="preserve">Sum of all nights </t>
  </si>
  <si>
    <t>Total kgs all shots by night (Night 1)</t>
  </si>
  <si>
    <t>Repeat above for Night 2, 3 etc</t>
  </si>
  <si>
    <t>Trip Total Shot Calculations</t>
  </si>
  <si>
    <t>Trip Total End of Night Actual Calcs</t>
  </si>
  <si>
    <t xml:space="preserve">Estimates </t>
  </si>
  <si>
    <t>Actuals</t>
  </si>
  <si>
    <t xml:space="preserve">Night1 </t>
  </si>
  <si>
    <t>Total Income per Night all shots Night 1</t>
  </si>
  <si>
    <t>Total Income Trip - sum all nights</t>
  </si>
  <si>
    <t>Night 2 Totals for example)</t>
  </si>
  <si>
    <t xml:space="preserve">Repeat above income by shot for All Nights </t>
  </si>
  <si>
    <t>Skipper records actual end of night 2 across all shots (KGS)</t>
  </si>
  <si>
    <t>Night 2 total only  for example</t>
  </si>
  <si>
    <t>Survey Gross Margins - Night 1</t>
  </si>
  <si>
    <t xml:space="preserve">Night </t>
  </si>
  <si>
    <t/>
  </si>
  <si>
    <t>Gross Margin (1 - 3)</t>
  </si>
  <si>
    <t>Ave/shot</t>
  </si>
  <si>
    <t xml:space="preserve">Catch </t>
  </si>
  <si>
    <t xml:space="preserve">  </t>
  </si>
  <si>
    <t>Total Gross Income</t>
  </si>
  <si>
    <t>Total Shots Night 1</t>
  </si>
  <si>
    <t>Total Shots Night 2</t>
  </si>
  <si>
    <t>Total Shots - all nights</t>
  </si>
  <si>
    <t>Survey Gross Margins - Night 2 repeat above</t>
  </si>
  <si>
    <t>Map this</t>
  </si>
  <si>
    <t xml:space="preserve">Survey Gross Margins - Aggregate all nights for TRIP GM </t>
  </si>
  <si>
    <t>sum Col I</t>
  </si>
  <si>
    <t>Trip</t>
  </si>
  <si>
    <t>D109/C30</t>
  </si>
  <si>
    <t>"</t>
  </si>
  <si>
    <t>"D105/ shots  cell C30</t>
  </si>
  <si>
    <t>D107/D105</t>
  </si>
  <si>
    <t>D109/D105</t>
  </si>
  <si>
    <t xml:space="preserve">need a summary report - by shot </t>
  </si>
  <si>
    <t>Fleet Survey Summary Report</t>
  </si>
  <si>
    <t>Adjusted shot results                 Shot 1</t>
  </si>
  <si>
    <t>Total kgs ADJ all shots by night (Night 1)</t>
  </si>
  <si>
    <t>Estimate to Actual Adjustment %</t>
  </si>
  <si>
    <t>Ave fuel usage (L/hr)</t>
  </si>
  <si>
    <t>Fuel Code</t>
  </si>
  <si>
    <t>Steaming Type</t>
  </si>
  <si>
    <t>F4</t>
  </si>
  <si>
    <t>Shot Catch by grade data and GM by location from all boats aggregated &amp; mapped - by night, trip and full year</t>
  </si>
  <si>
    <t>Boat Operator enters own data or estimates/projections</t>
  </si>
  <si>
    <t>Boat Summary Report</t>
  </si>
  <si>
    <t>Boats (DEFAULT)</t>
  </si>
  <si>
    <t>NOT USED FOR BOAT</t>
  </si>
  <si>
    <t>Shot Catch by grade data and GM by location the boat aggregated &amp; mapped - by night, trip and full year</t>
  </si>
  <si>
    <t xml:space="preserve">Start &amp; end of shot - nominate </t>
  </si>
  <si>
    <t>maybe a flag -when next shot button is hot  to switch. If other exclude from shot data  - show as different colour on map</t>
  </si>
  <si>
    <t xml:space="preserve">REDUNDANT  </t>
  </si>
  <si>
    <t>Boat Actual Catch by shot</t>
  </si>
  <si>
    <t>SHOOT ADJUSTMENT FOR ACTUALS</t>
  </si>
  <si>
    <t>Yes/no - if no No. 1 used as "Estimate to Actual Adjustment %" Row 34</t>
  </si>
  <si>
    <t>THIS IS A MAJOR CHANGE - NEED OPTION TO RECORD BY SH0T OR END OF NIGHT.  IF END OF NIGHT CURRENT STRUCTURE IS USED. IF BY NIGHT SEE NEW SECTION</t>
  </si>
  <si>
    <t xml:space="preserve">NEW FEATURE - IF SHOT RECORDING IS NOT USED </t>
  </si>
  <si>
    <t xml:space="preserve">NEED TO BUILD PRICE BY GRADE </t>
  </si>
  <si>
    <t xml:space="preserve">BOX SIZE IMAPCTS </t>
  </si>
  <si>
    <t xml:space="preserve">STEAMINHG </t>
  </si>
  <si>
    <t>note if default changes maths changes row 87</t>
  </si>
  <si>
    <t>note if default changes maths changes Row 64, 65 etc</t>
  </si>
  <si>
    <t>Adjusted shot results                     Shot 1</t>
  </si>
  <si>
    <t>sum Col L (Night1 + Night 2 etc)</t>
  </si>
  <si>
    <t xml:space="preserve">Total Shots - all nights (Trip) </t>
  </si>
  <si>
    <t>"D98/ shots  cell C40</t>
  </si>
  <si>
    <t>D100/D98</t>
  </si>
  <si>
    <t>D103/D98</t>
  </si>
  <si>
    <t>D104/D98</t>
  </si>
  <si>
    <t>D105/D98</t>
  </si>
  <si>
    <t>Fuel Calcs</t>
  </si>
  <si>
    <t>Start of trip</t>
  </si>
  <si>
    <t>Start of night (for each night 1 to n)</t>
  </si>
  <si>
    <t>Start of shot (for each shot 1 to m)</t>
  </si>
  <si>
    <t>End of shot (for each shot 1 to m)</t>
  </si>
  <si>
    <t>End of night (for each night 1 to n)</t>
  </si>
  <si>
    <t>End of trip</t>
  </si>
  <si>
    <t>SHOT ADJUSTMENT FOR ACTUALS</t>
  </si>
  <si>
    <t xml:space="preserve">eg Pt Linc </t>
  </si>
  <si>
    <t>Record GPS location start trip  - default</t>
  </si>
  <si>
    <t>kms calculated start trip - start first night</t>
  </si>
  <si>
    <t xml:space="preserve">Record GPS location start first night </t>
  </si>
  <si>
    <t xml:space="preserve">Record GPS location end last night </t>
  </si>
  <si>
    <t xml:space="preserve">Record number of shots by night &amp; totals </t>
  </si>
  <si>
    <t>Record GPS location end trip  - default</t>
  </si>
  <si>
    <t xml:space="preserve">same as start </t>
  </si>
  <si>
    <t xml:space="preserve">Nights/trip </t>
  </si>
  <si>
    <t>Box size drop down</t>
  </si>
  <si>
    <t>Processing drop dwn</t>
  </si>
  <si>
    <t xml:space="preserve">kms calculated - end last night - end trip eg </t>
  </si>
  <si>
    <t>Fuel &amp; Repairs</t>
  </si>
  <si>
    <t>Repairs/km or Hr</t>
  </si>
  <si>
    <t>Slow steaming  (port to 1st night)</t>
  </si>
  <si>
    <t xml:space="preserve">  Fuel - slow steaming port - 1st night &amp; return</t>
  </si>
  <si>
    <t xml:space="preserve">  Fuel - shots and fast steaming  </t>
  </si>
  <si>
    <t>Survey (default industry data)</t>
  </si>
  <si>
    <t xml:space="preserve">  Repairs &amp; Maintenance - Slow steaming port - 1st night</t>
  </si>
  <si>
    <t xml:space="preserve">  Repairs &amp; Maintenance - trawling &amp; fast steam</t>
  </si>
  <si>
    <t>Fast steaming (per night)</t>
  </si>
  <si>
    <t xml:space="preserve">Km/hr or hours/shot or night </t>
  </si>
  <si>
    <t>Cost/km or shot or night</t>
  </si>
  <si>
    <t>sum Col i (Night1 + Night 2 etc)</t>
  </si>
  <si>
    <t>D103/shots cell C40</t>
  </si>
  <si>
    <t>"D104/ shots  cell C40</t>
  </si>
  <si>
    <t>"D105/ shots  cell C40</t>
  </si>
  <si>
    <t>Boat Financial Data - table report</t>
  </si>
  <si>
    <t>Distance (km)</t>
  </si>
  <si>
    <t>Night 1</t>
  </si>
  <si>
    <t>Shot2</t>
  </si>
  <si>
    <t>Night 2</t>
  </si>
  <si>
    <t>Slow steaming distance (km)</t>
  </si>
  <si>
    <t>Fast steaming distance (km)</t>
  </si>
  <si>
    <t>Trawling (km)</t>
  </si>
  <si>
    <t>Adjust formula to include additional nights and all shots per night</t>
  </si>
  <si>
    <t>Night</t>
  </si>
  <si>
    <t>Add additional nigths as required</t>
  </si>
  <si>
    <t>Shots</t>
  </si>
  <si>
    <t>Add additional shots to each night as required</t>
  </si>
  <si>
    <t>Start</t>
  </si>
  <si>
    <t>End</t>
  </si>
  <si>
    <t>Record start &amp; end of each trip</t>
  </si>
  <si>
    <t>Record start &amp; end of night 1</t>
  </si>
  <si>
    <t>Record start &amp; end of shot 1</t>
  </si>
  <si>
    <t>Record start &amp; end of shot 2</t>
  </si>
  <si>
    <t>Record start &amp; end of night 2</t>
  </si>
  <si>
    <t>Repeat for n nights</t>
  </si>
  <si>
    <t>Repeat for m shots</t>
  </si>
  <si>
    <t>Speed (km/hr)</t>
  </si>
  <si>
    <t>Fuel Usage per km (L/km)</t>
  </si>
  <si>
    <t>Repairs/km</t>
  </si>
  <si>
    <t>Total Shots for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</si>
</sst>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#,##0.00"/>
    <numFmt numFmtId="166" formatCode="&quot;$&quot;#,##0"/>
    <numFmt numFmtId="167" formatCode="0.0%"/>
    <numFmt numFmtId="168" formatCode="_-&quot;$&quot;* #,##0_-;\-&quot;$&quot;* #,##0_-;_-&quot;$&quot;* &quot;-&quot;??_-;_-@_-"/>
    <numFmt numFmtId="169" formatCode="_-* #,##0_-;\-* #,##0_-;_-* &quot;-&quot;??_-;_-@_-"/>
    <numFmt numFmtId="170" formatCode="0.000"/>
    <numFmt numFmtId="171" formatCode="0.0"/>
  </numFmts>
  <fonts count="15" x14ac:knownFonts="1">
    <font>
      <sz val="11"/>
      <color theme="1"/>
      <name val="Trebuchet MS"/>
      <family val="2"/>
    </font>
    <font>
      <b/>
      <sz val="16"/>
      <color theme="4"/>
      <name val="Trebuchet ms"/>
      <family val="2"/>
      <scheme val="minor"/>
    </font>
    <font>
      <b/>
      <sz val="14"/>
      <color theme="4"/>
      <name val="Trebuchet ms"/>
      <family val="2"/>
      <scheme val="minor"/>
    </font>
    <font>
      <b/>
      <sz val="12"/>
      <color theme="4"/>
      <name val="Trebuchet ms"/>
      <family val="2"/>
      <scheme val="minor"/>
    </font>
    <font>
      <sz val="11"/>
      <color theme="1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 tint="0.249977111117893"/>
      <name val="Calibri"/>
      <family val="2"/>
    </font>
    <font>
      <b/>
      <sz val="10"/>
      <color theme="1" tint="0.249977111117893"/>
      <name val="Calibri"/>
      <family val="2"/>
    </font>
    <font>
      <sz val="12"/>
      <color theme="1"/>
      <name val="Trebuchet ms"/>
      <family val="2"/>
      <scheme val="minor"/>
    </font>
    <font>
      <sz val="11"/>
      <color theme="1"/>
      <name val="Calibri"/>
      <family val="2"/>
    </font>
    <font>
      <sz val="11"/>
      <name val="Trebuchet MS"/>
      <family val="2"/>
    </font>
    <font>
      <sz val="10"/>
      <color rgb="FF000000"/>
      <name val="Trebuchet MS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 applyNumberFormat="0" applyFill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9" fontId="4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7">
    <xf numFmtId="0" fontId="0" fillId="0" borderId="0" xfId="0"/>
    <xf numFmtId="0" fontId="8" fillId="0" borderId="0" xfId="0" applyFont="1"/>
    <xf numFmtId="9" fontId="8" fillId="0" borderId="0" xfId="4" applyFont="1" applyFill="1"/>
    <xf numFmtId="0" fontId="9" fillId="4" borderId="0" xfId="0" applyFont="1" applyFill="1" applyAlignment="1">
      <alignment vertical="center" wrapText="1"/>
    </xf>
    <xf numFmtId="49" fontId="9" fillId="4" borderId="0" xfId="0" applyNumberFormat="1" applyFont="1" applyFill="1" applyAlignment="1">
      <alignment vertical="center"/>
    </xf>
    <xf numFmtId="0" fontId="10" fillId="4" borderId="0" xfId="0" applyFont="1" applyFill="1" applyAlignment="1">
      <alignment vertical="center" wrapText="1"/>
    </xf>
    <xf numFmtId="166" fontId="10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167" fontId="10" fillId="3" borderId="0" xfId="4" applyNumberFormat="1" applyFont="1" applyFill="1" applyBorder="1" applyAlignment="1">
      <alignment vertical="center"/>
    </xf>
    <xf numFmtId="0" fontId="8" fillId="0" borderId="1" xfId="0" applyFont="1" applyBorder="1"/>
    <xf numFmtId="166" fontId="10" fillId="2" borderId="0" xfId="0" applyNumberFormat="1" applyFont="1" applyFill="1" applyAlignment="1">
      <alignment vertical="center"/>
    </xf>
    <xf numFmtId="166" fontId="9" fillId="5" borderId="0" xfId="0" applyNumberFormat="1" applyFont="1" applyFill="1" applyAlignment="1">
      <alignment vertical="center"/>
    </xf>
    <xf numFmtId="167" fontId="10" fillId="2" borderId="0" xfId="4" applyNumberFormat="1" applyFont="1" applyFill="1" applyBorder="1" applyAlignment="1">
      <alignment vertical="center"/>
    </xf>
    <xf numFmtId="165" fontId="8" fillId="0" borderId="0" xfId="0" applyNumberFormat="1" applyFont="1"/>
    <xf numFmtId="0" fontId="8" fillId="5" borderId="0" xfId="0" applyFont="1" applyFill="1"/>
    <xf numFmtId="0" fontId="7" fillId="6" borderId="0" xfId="0" applyFont="1" applyFill="1"/>
    <xf numFmtId="0" fontId="8" fillId="2" borderId="0" xfId="0" applyFont="1" applyFill="1"/>
    <xf numFmtId="3" fontId="8" fillId="2" borderId="1" xfId="0" applyNumberFormat="1" applyFont="1" applyFill="1" applyBorder="1"/>
    <xf numFmtId="165" fontId="8" fillId="2" borderId="1" xfId="0" applyNumberFormat="1" applyFont="1" applyFill="1" applyBorder="1"/>
    <xf numFmtId="3" fontId="8" fillId="0" borderId="1" xfId="0" applyNumberFormat="1" applyFont="1" applyBorder="1"/>
    <xf numFmtId="166" fontId="8" fillId="2" borderId="1" xfId="0" applyNumberFormat="1" applyFont="1" applyFill="1" applyBorder="1"/>
    <xf numFmtId="166" fontId="10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Font="1" applyBorder="1"/>
    <xf numFmtId="0" fontId="8" fillId="0" borderId="5" xfId="0" applyFont="1" applyBorder="1"/>
    <xf numFmtId="0" fontId="8" fillId="0" borderId="7" xfId="0" applyFont="1" applyBorder="1"/>
    <xf numFmtId="3" fontId="8" fillId="0" borderId="0" xfId="0" applyNumberFormat="1" applyFont="1"/>
    <xf numFmtId="0" fontId="7" fillId="6" borderId="0" xfId="0" applyFont="1" applyFill="1" applyAlignment="1">
      <alignment wrapText="1"/>
    </xf>
    <xf numFmtId="9" fontId="8" fillId="2" borderId="1" xfId="4" applyFont="1" applyFill="1" applyBorder="1"/>
    <xf numFmtId="0" fontId="8" fillId="2" borderId="3" xfId="0" applyFont="1" applyFill="1" applyBorder="1"/>
    <xf numFmtId="0" fontId="8" fillId="0" borderId="9" xfId="0" applyFont="1" applyBorder="1"/>
    <xf numFmtId="0" fontId="8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8" fillId="0" borderId="13" xfId="0" applyFont="1" applyBorder="1"/>
    <xf numFmtId="166" fontId="8" fillId="2" borderId="13" xfId="0" applyNumberFormat="1" applyFont="1" applyFill="1" applyBorder="1"/>
    <xf numFmtId="166" fontId="8" fillId="0" borderId="13" xfId="0" applyNumberFormat="1" applyFont="1" applyBorder="1"/>
    <xf numFmtId="0" fontId="7" fillId="0" borderId="10" xfId="0" applyFont="1" applyBorder="1"/>
    <xf numFmtId="0" fontId="10" fillId="4" borderId="3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/>
    </xf>
    <xf numFmtId="0" fontId="8" fillId="0" borderId="4" xfId="0" applyFont="1" applyBorder="1"/>
    <xf numFmtId="0" fontId="9" fillId="4" borderId="5" xfId="0" applyFont="1" applyFill="1" applyBorder="1" applyAlignment="1">
      <alignment vertical="center" wrapText="1"/>
    </xf>
    <xf numFmtId="0" fontId="8" fillId="0" borderId="6" xfId="0" applyFont="1" applyBorder="1"/>
    <xf numFmtId="0" fontId="9" fillId="3" borderId="5" xfId="0" applyFont="1" applyFill="1" applyBorder="1" applyAlignment="1">
      <alignment vertical="center" wrapText="1"/>
    </xf>
    <xf numFmtId="0" fontId="7" fillId="0" borderId="0" xfId="0" applyFont="1"/>
    <xf numFmtId="0" fontId="7" fillId="0" borderId="6" xfId="0" applyFont="1" applyBorder="1"/>
    <xf numFmtId="0" fontId="8" fillId="0" borderId="8" xfId="0" applyFont="1" applyBorder="1"/>
    <xf numFmtId="3" fontId="8" fillId="5" borderId="4" xfId="0" applyNumberFormat="1" applyFont="1" applyFill="1" applyBorder="1" applyAlignment="1">
      <alignment horizontal="center"/>
    </xf>
    <xf numFmtId="165" fontId="8" fillId="5" borderId="6" xfId="0" applyNumberFormat="1" applyFont="1" applyFill="1" applyBorder="1" applyAlignment="1">
      <alignment horizontal="center"/>
    </xf>
    <xf numFmtId="1" fontId="8" fillId="5" borderId="8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" fontId="8" fillId="5" borderId="6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166" fontId="9" fillId="5" borderId="0" xfId="0" applyNumberFormat="1" applyFont="1" applyFill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8" fillId="5" borderId="18" xfId="0" applyFont="1" applyFill="1" applyBorder="1"/>
    <xf numFmtId="0" fontId="8" fillId="0" borderId="18" xfId="0" applyFont="1" applyBorder="1"/>
    <xf numFmtId="0" fontId="8" fillId="0" borderId="21" xfId="0" applyFont="1" applyBorder="1"/>
    <xf numFmtId="0" fontId="8" fillId="5" borderId="18" xfId="0" applyFont="1" applyFill="1" applyBorder="1" applyAlignment="1">
      <alignment wrapText="1"/>
    </xf>
    <xf numFmtId="165" fontId="8" fillId="5" borderId="19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9" fontId="8" fillId="5" borderId="21" xfId="4" applyFont="1" applyFill="1" applyBorder="1" applyAlignment="1">
      <alignment horizontal="center"/>
    </xf>
    <xf numFmtId="9" fontId="8" fillId="5" borderId="20" xfId="4" applyFont="1" applyFill="1" applyBorder="1" applyAlignment="1"/>
    <xf numFmtId="0" fontId="8" fillId="5" borderId="17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166" fontId="9" fillId="2" borderId="0" xfId="0" applyNumberFormat="1" applyFont="1" applyFill="1" applyAlignment="1">
      <alignment vertical="center"/>
    </xf>
    <xf numFmtId="0" fontId="8" fillId="7" borderId="3" xfId="0" applyFont="1" applyFill="1" applyBorder="1"/>
    <xf numFmtId="3" fontId="8" fillId="0" borderId="4" xfId="0" applyNumberFormat="1" applyFont="1" applyBorder="1"/>
    <xf numFmtId="3" fontId="8" fillId="2" borderId="6" xfId="0" applyNumberFormat="1" applyFont="1" applyFill="1" applyBorder="1"/>
    <xf numFmtId="166" fontId="8" fillId="2" borderId="6" xfId="0" applyNumberFormat="1" applyFont="1" applyFill="1" applyBorder="1"/>
    <xf numFmtId="3" fontId="8" fillId="0" borderId="6" xfId="0" applyNumberFormat="1" applyFont="1" applyBorder="1"/>
    <xf numFmtId="1" fontId="8" fillId="2" borderId="6" xfId="0" applyNumberFormat="1" applyFont="1" applyFill="1" applyBorder="1"/>
    <xf numFmtId="0" fontId="8" fillId="2" borderId="8" xfId="0" applyFont="1" applyFill="1" applyBorder="1"/>
    <xf numFmtId="9" fontId="8" fillId="2" borderId="9" xfId="4" applyFont="1" applyFill="1" applyBorder="1"/>
    <xf numFmtId="9" fontId="8" fillId="2" borderId="0" xfId="4" applyFont="1" applyFill="1" applyBorder="1"/>
    <xf numFmtId="165" fontId="8" fillId="2" borderId="6" xfId="0" applyNumberFormat="1" applyFont="1" applyFill="1" applyBorder="1"/>
    <xf numFmtId="166" fontId="8" fillId="2" borderId="4" xfId="0" applyNumberFormat="1" applyFont="1" applyFill="1" applyBorder="1"/>
    <xf numFmtId="0" fontId="8" fillId="0" borderId="17" xfId="0" applyFont="1" applyBorder="1"/>
    <xf numFmtId="9" fontId="8" fillId="2" borderId="18" xfId="4" applyFont="1" applyFill="1" applyBorder="1"/>
    <xf numFmtId="166" fontId="8" fillId="2" borderId="21" xfId="0" applyNumberFormat="1" applyFont="1" applyFill="1" applyBorder="1"/>
    <xf numFmtId="0" fontId="9" fillId="3" borderId="4" xfId="0" applyFont="1" applyFill="1" applyBorder="1" applyAlignment="1">
      <alignment vertical="center"/>
    </xf>
    <xf numFmtId="166" fontId="9" fillId="5" borderId="6" xfId="0" applyNumberFormat="1" applyFont="1" applyFill="1" applyBorder="1" applyAlignment="1">
      <alignment vertical="center"/>
    </xf>
    <xf numFmtId="0" fontId="9" fillId="4" borderId="7" xfId="0" applyFont="1" applyFill="1" applyBorder="1" applyAlignment="1">
      <alignment vertical="center" wrapText="1"/>
    </xf>
    <xf numFmtId="166" fontId="9" fillId="5" borderId="8" xfId="0" applyNumberFormat="1" applyFont="1" applyFill="1" applyBorder="1" applyAlignment="1">
      <alignment vertical="center"/>
    </xf>
    <xf numFmtId="166" fontId="10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8" fillId="0" borderId="22" xfId="0" applyFont="1" applyBorder="1"/>
    <xf numFmtId="0" fontId="9" fillId="4" borderId="2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vertical="center"/>
    </xf>
    <xf numFmtId="0" fontId="9" fillId="4" borderId="9" xfId="0" applyFont="1" applyFill="1" applyBorder="1"/>
    <xf numFmtId="0" fontId="7" fillId="0" borderId="9" xfId="0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49" fontId="9" fillId="4" borderId="5" xfId="0" applyNumberFormat="1" applyFont="1" applyFill="1" applyBorder="1" applyAlignment="1">
      <alignment vertical="center"/>
    </xf>
    <xf numFmtId="166" fontId="8" fillId="2" borderId="0" xfId="0" applyNumberFormat="1" applyFont="1" applyFill="1"/>
    <xf numFmtId="49" fontId="9" fillId="4" borderId="23" xfId="0" applyNumberFormat="1" applyFont="1" applyFill="1" applyBorder="1" applyAlignment="1">
      <alignment vertical="center"/>
    </xf>
    <xf numFmtId="0" fontId="9" fillId="4" borderId="23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49" fontId="9" fillId="4" borderId="7" xfId="0" applyNumberFormat="1" applyFont="1" applyFill="1" applyBorder="1" applyAlignment="1">
      <alignment vertical="center"/>
    </xf>
    <xf numFmtId="49" fontId="9" fillId="4" borderId="10" xfId="0" applyNumberFormat="1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/>
    </xf>
    <xf numFmtId="166" fontId="8" fillId="2" borderId="8" xfId="0" applyNumberFormat="1" applyFont="1" applyFill="1" applyBorder="1"/>
    <xf numFmtId="0" fontId="8" fillId="5" borderId="1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9" fontId="7" fillId="0" borderId="10" xfId="0" applyNumberFormat="1" applyFont="1" applyBorder="1"/>
    <xf numFmtId="0" fontId="7" fillId="0" borderId="4" xfId="0" applyFont="1" applyBorder="1" applyAlignment="1">
      <alignment horizontal="center"/>
    </xf>
    <xf numFmtId="166" fontId="7" fillId="0" borderId="6" xfId="0" applyNumberFormat="1" applyFont="1" applyBorder="1" applyAlignment="1">
      <alignment horizontal="center"/>
    </xf>
    <xf numFmtId="3" fontId="7" fillId="2" borderId="24" xfId="0" applyNumberFormat="1" applyFont="1" applyFill="1" applyBorder="1"/>
    <xf numFmtId="166" fontId="7" fillId="2" borderId="25" xfId="0" applyNumberFormat="1" applyFont="1" applyFill="1" applyBorder="1"/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9" fontId="8" fillId="2" borderId="14" xfId="4" applyFont="1" applyFill="1" applyBorder="1"/>
    <xf numFmtId="3" fontId="8" fillId="2" borderId="14" xfId="0" applyNumberFormat="1" applyFont="1" applyFill="1" applyBorder="1"/>
    <xf numFmtId="166" fontId="8" fillId="2" borderId="15" xfId="0" applyNumberFormat="1" applyFont="1" applyFill="1" applyBorder="1"/>
    <xf numFmtId="49" fontId="10" fillId="7" borderId="0" xfId="0" applyNumberFormat="1" applyFont="1" applyFill="1" applyAlignment="1">
      <alignment vertical="center"/>
    </xf>
    <xf numFmtId="165" fontId="8" fillId="2" borderId="13" xfId="0" applyNumberFormat="1" applyFont="1" applyFill="1" applyBorder="1"/>
    <xf numFmtId="0" fontId="9" fillId="2" borderId="0" xfId="0" applyFont="1" applyFill="1" applyAlignment="1">
      <alignment vertical="center"/>
    </xf>
    <xf numFmtId="0" fontId="8" fillId="2" borderId="6" xfId="0" applyFont="1" applyFill="1" applyBorder="1"/>
    <xf numFmtId="0" fontId="8" fillId="8" borderId="5" xfId="0" applyFont="1" applyFill="1" applyBorder="1"/>
    <xf numFmtId="0" fontId="8" fillId="8" borderId="3" xfId="0" applyFont="1" applyFill="1" applyBorder="1"/>
    <xf numFmtId="0" fontId="10" fillId="8" borderId="0" xfId="0" applyFont="1" applyFill="1" applyAlignment="1">
      <alignment vertical="center" wrapText="1"/>
    </xf>
    <xf numFmtId="0" fontId="10" fillId="8" borderId="1" xfId="0" applyFont="1" applyFill="1" applyBorder="1" applyAlignment="1">
      <alignment vertical="center" wrapText="1"/>
    </xf>
    <xf numFmtId="0" fontId="8" fillId="8" borderId="0" xfId="0" applyFont="1" applyFill="1"/>
    <xf numFmtId="0" fontId="10" fillId="9" borderId="3" xfId="0" applyFont="1" applyFill="1" applyBorder="1" applyAlignment="1">
      <alignment vertical="center" wrapText="1"/>
    </xf>
    <xf numFmtId="0" fontId="7" fillId="9" borderId="3" xfId="5" applyFont="1" applyFill="1" applyBorder="1"/>
    <xf numFmtId="0" fontId="8" fillId="2" borderId="9" xfId="5" applyFont="1" applyFill="1" applyBorder="1"/>
    <xf numFmtId="0" fontId="8" fillId="0" borderId="9" xfId="5" applyFont="1" applyBorder="1"/>
    <xf numFmtId="0" fontId="8" fillId="0" borderId="4" xfId="5" applyFont="1" applyBorder="1"/>
    <xf numFmtId="0" fontId="8" fillId="0" borderId="5" xfId="5" applyFont="1" applyBorder="1"/>
    <xf numFmtId="0" fontId="8" fillId="0" borderId="0" xfId="5" applyFont="1"/>
    <xf numFmtId="0" fontId="8" fillId="0" borderId="6" xfId="5" applyFont="1" applyBorder="1"/>
    <xf numFmtId="0" fontId="8" fillId="0" borderId="5" xfId="5" applyFont="1" applyBorder="1" applyAlignment="1">
      <alignment wrapText="1"/>
    </xf>
    <xf numFmtId="0" fontId="7" fillId="2" borderId="0" xfId="5" applyFont="1" applyFill="1"/>
    <xf numFmtId="0" fontId="7" fillId="0" borderId="5" xfId="5" applyFont="1" applyBorder="1" applyAlignment="1">
      <alignment wrapText="1"/>
    </xf>
    <xf numFmtId="0" fontId="7" fillId="0" borderId="0" xfId="5" applyFont="1"/>
    <xf numFmtId="49" fontId="7" fillId="0" borderId="0" xfId="5" applyNumberFormat="1" applyFont="1"/>
    <xf numFmtId="0" fontId="7" fillId="0" borderId="6" xfId="5" applyFont="1" applyBorder="1"/>
    <xf numFmtId="164" fontId="8" fillId="0" borderId="0" xfId="6" applyFont="1" applyBorder="1"/>
    <xf numFmtId="164" fontId="8" fillId="0" borderId="6" xfId="6" applyFont="1" applyBorder="1"/>
    <xf numFmtId="166" fontId="9" fillId="0" borderId="10" xfId="0" applyNumberFormat="1" applyFont="1" applyBorder="1" applyAlignment="1">
      <alignment vertical="center"/>
    </xf>
    <xf numFmtId="0" fontId="8" fillId="11" borderId="0" xfId="0" applyFont="1" applyFill="1"/>
    <xf numFmtId="0" fontId="0" fillId="2" borderId="0" xfId="0" applyFill="1"/>
    <xf numFmtId="0" fontId="0" fillId="5" borderId="3" xfId="0" applyFill="1" applyBorder="1"/>
    <xf numFmtId="0" fontId="0" fillId="0" borderId="9" xfId="0" applyBorder="1"/>
    <xf numFmtId="0" fontId="0" fillId="0" borderId="4" xfId="0" applyBorder="1"/>
    <xf numFmtId="0" fontId="0" fillId="0" borderId="5" xfId="0" applyBorder="1"/>
    <xf numFmtId="0" fontId="0" fillId="5" borderId="5" xfId="0" applyFill="1" applyBorder="1"/>
    <xf numFmtId="0" fontId="0" fillId="0" borderId="6" xfId="0" applyBorder="1"/>
    <xf numFmtId="0" fontId="0" fillId="5" borderId="10" xfId="0" applyFill="1" applyBorder="1"/>
    <xf numFmtId="0" fontId="0" fillId="0" borderId="10" xfId="0" applyBorder="1"/>
    <xf numFmtId="0" fontId="0" fillId="0" borderId="8" xfId="0" applyBorder="1"/>
    <xf numFmtId="0" fontId="7" fillId="0" borderId="3" xfId="5" applyFont="1" applyBorder="1"/>
    <xf numFmtId="0" fontId="8" fillId="2" borderId="0" xfId="5" applyFont="1" applyFill="1"/>
    <xf numFmtId="0" fontId="8" fillId="2" borderId="6" xfId="5" applyFont="1" applyFill="1" applyBorder="1"/>
    <xf numFmtId="49" fontId="7" fillId="2" borderId="0" xfId="5" applyNumberFormat="1" applyFont="1" applyFill="1"/>
    <xf numFmtId="0" fontId="7" fillId="2" borderId="6" xfId="5" applyFont="1" applyFill="1" applyBorder="1"/>
    <xf numFmtId="164" fontId="8" fillId="2" borderId="0" xfId="6" applyFont="1" applyFill="1" applyBorder="1"/>
    <xf numFmtId="164" fontId="8" fillId="2" borderId="6" xfId="6" applyFont="1" applyFill="1" applyBorder="1"/>
    <xf numFmtId="0" fontId="0" fillId="5" borderId="7" xfId="0" applyFill="1" applyBorder="1" applyAlignment="1">
      <alignment wrapText="1"/>
    </xf>
    <xf numFmtId="168" fontId="0" fillId="2" borderId="0" xfId="8" applyNumberFormat="1" applyFont="1" applyFill="1" applyBorder="1"/>
    <xf numFmtId="0" fontId="0" fillId="0" borderId="3" xfId="0" applyBorder="1"/>
    <xf numFmtId="0" fontId="0" fillId="0" borderId="7" xfId="0" applyBorder="1"/>
    <xf numFmtId="0" fontId="0" fillId="0" borderId="0" xfId="0" applyAlignment="1">
      <alignment wrapText="1"/>
    </xf>
    <xf numFmtId="0" fontId="0" fillId="0" borderId="5" xfId="0" applyBorder="1" applyAlignment="1">
      <alignment horizontal="right"/>
    </xf>
    <xf numFmtId="0" fontId="0" fillId="2" borderId="10" xfId="0" applyFill="1" applyBorder="1"/>
    <xf numFmtId="0" fontId="0" fillId="2" borderId="8" xfId="0" applyFill="1" applyBorder="1"/>
    <xf numFmtId="0" fontId="7" fillId="0" borderId="9" xfId="5" applyFont="1" applyBorder="1"/>
    <xf numFmtId="49" fontId="7" fillId="0" borderId="9" xfId="5" applyNumberFormat="1" applyFont="1" applyBorder="1"/>
    <xf numFmtId="0" fontId="7" fillId="0" borderId="4" xfId="5" applyFont="1" applyBorder="1"/>
    <xf numFmtId="0" fontId="0" fillId="2" borderId="3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5" borderId="8" xfId="0" applyFill="1" applyBorder="1"/>
    <xf numFmtId="0" fontId="0" fillId="6" borderId="3" xfId="0" applyFill="1" applyBorder="1"/>
    <xf numFmtId="0" fontId="8" fillId="6" borderId="5" xfId="5" applyFont="1" applyFill="1" applyBorder="1" applyAlignment="1">
      <alignment wrapText="1"/>
    </xf>
    <xf numFmtId="0" fontId="7" fillId="6" borderId="0" xfId="5" applyFont="1" applyFill="1"/>
    <xf numFmtId="166" fontId="9" fillId="0" borderId="9" xfId="0" applyNumberFormat="1" applyFont="1" applyBorder="1" applyAlignment="1">
      <alignment vertical="center"/>
    </xf>
    <xf numFmtId="0" fontId="10" fillId="2" borderId="5" xfId="0" applyFont="1" applyFill="1" applyBorder="1" applyAlignment="1">
      <alignment vertical="center" wrapText="1"/>
    </xf>
    <xf numFmtId="166" fontId="9" fillId="2" borderId="6" xfId="0" applyNumberFormat="1" applyFont="1" applyFill="1" applyBorder="1" applyAlignment="1">
      <alignment vertical="center"/>
    </xf>
    <xf numFmtId="0" fontId="9" fillId="4" borderId="5" xfId="0" applyFont="1" applyFill="1" applyBorder="1" applyAlignment="1">
      <alignment horizontal="right" vertical="center" wrapText="1"/>
    </xf>
    <xf numFmtId="0" fontId="9" fillId="4" borderId="7" xfId="0" applyFont="1" applyFill="1" applyBorder="1" applyAlignment="1">
      <alignment horizontal="right" vertical="center" wrapText="1"/>
    </xf>
    <xf numFmtId="168" fontId="0" fillId="2" borderId="10" xfId="8" applyNumberFormat="1" applyFont="1" applyFill="1" applyBorder="1"/>
    <xf numFmtId="166" fontId="9" fillId="2" borderId="10" xfId="0" applyNumberFormat="1" applyFont="1" applyFill="1" applyBorder="1" applyAlignment="1">
      <alignment vertical="center"/>
    </xf>
    <xf numFmtId="166" fontId="9" fillId="2" borderId="8" xfId="0" applyNumberFormat="1" applyFont="1" applyFill="1" applyBorder="1" applyAlignment="1">
      <alignment vertical="center"/>
    </xf>
    <xf numFmtId="0" fontId="9" fillId="2" borderId="26" xfId="0" applyFont="1" applyFill="1" applyBorder="1" applyAlignment="1">
      <alignment vertical="center" wrapText="1"/>
    </xf>
    <xf numFmtId="168" fontId="0" fillId="2" borderId="18" xfId="8" applyNumberFormat="1" applyFont="1" applyFill="1" applyBorder="1"/>
    <xf numFmtId="168" fontId="0" fillId="2" borderId="21" xfId="8" applyNumberFormat="1" applyFont="1" applyFill="1" applyBorder="1"/>
    <xf numFmtId="0" fontId="9" fillId="6" borderId="0" xfId="0" applyFont="1" applyFill="1" applyAlignment="1">
      <alignment vertical="center" wrapText="1"/>
    </xf>
    <xf numFmtId="168" fontId="0" fillId="0" borderId="18" xfId="8" applyNumberFormat="1" applyFont="1" applyFill="1" applyBorder="1"/>
    <xf numFmtId="168" fontId="0" fillId="0" borderId="0" xfId="8" applyNumberFormat="1" applyFont="1" applyFill="1" applyBorder="1"/>
    <xf numFmtId="166" fontId="9" fillId="2" borderId="18" xfId="0" applyNumberFormat="1" applyFont="1" applyFill="1" applyBorder="1" applyAlignment="1">
      <alignment vertical="center"/>
    </xf>
    <xf numFmtId="166" fontId="9" fillId="2" borderId="21" xfId="0" applyNumberFormat="1" applyFont="1" applyFill="1" applyBorder="1" applyAlignment="1">
      <alignment vertical="center"/>
    </xf>
    <xf numFmtId="0" fontId="9" fillId="0" borderId="17" xfId="0" applyFont="1" applyBorder="1" applyAlignment="1">
      <alignment horizontal="right" vertical="center" wrapText="1"/>
    </xf>
    <xf numFmtId="168" fontId="0" fillId="0" borderId="21" xfId="8" applyNumberFormat="1" applyFont="1" applyFill="1" applyBorder="1"/>
    <xf numFmtId="0" fontId="0" fillId="0" borderId="7" xfId="0" applyBorder="1" applyAlignment="1">
      <alignment horizontal="right"/>
    </xf>
    <xf numFmtId="165" fontId="8" fillId="2" borderId="0" xfId="0" applyNumberFormat="1" applyFont="1" applyFill="1"/>
    <xf numFmtId="0" fontId="7" fillId="0" borderId="3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165" fontId="0" fillId="2" borderId="6" xfId="0" applyNumberFormat="1" applyFill="1" applyBorder="1"/>
    <xf numFmtId="166" fontId="8" fillId="6" borderId="0" xfId="0" applyNumberFormat="1" applyFont="1" applyFill="1"/>
    <xf numFmtId="0" fontId="0" fillId="0" borderId="0" xfId="0" quotePrefix="1"/>
    <xf numFmtId="0" fontId="0" fillId="0" borderId="17" xfId="0" applyBorder="1"/>
    <xf numFmtId="0" fontId="10" fillId="8" borderId="19" xfId="0" applyFont="1" applyFill="1" applyBorder="1" applyAlignment="1">
      <alignment vertical="center" wrapText="1"/>
    </xf>
    <xf numFmtId="166" fontId="10" fillId="2" borderId="19" xfId="0" applyNumberFormat="1" applyFont="1" applyFill="1" applyBorder="1" applyAlignment="1">
      <alignment vertical="center"/>
    </xf>
    <xf numFmtId="166" fontId="8" fillId="2" borderId="19" xfId="0" applyNumberFormat="1" applyFont="1" applyFill="1" applyBorder="1"/>
    <xf numFmtId="165" fontId="8" fillId="2" borderId="19" xfId="0" applyNumberFormat="1" applyFont="1" applyFill="1" applyBorder="1"/>
    <xf numFmtId="0" fontId="0" fillId="0" borderId="18" xfId="0" applyBorder="1"/>
    <xf numFmtId="0" fontId="9" fillId="4" borderId="0" xfId="0" applyFont="1" applyFill="1"/>
    <xf numFmtId="169" fontId="9" fillId="2" borderId="0" xfId="7" applyNumberFormat="1" applyFont="1" applyFill="1" applyBorder="1"/>
    <xf numFmtId="0" fontId="7" fillId="2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/>
    </xf>
    <xf numFmtId="165" fontId="9" fillId="2" borderId="0" xfId="0" applyNumberFormat="1" applyFont="1" applyFill="1"/>
    <xf numFmtId="165" fontId="7" fillId="2" borderId="0" xfId="0" applyNumberFormat="1" applyFont="1" applyFill="1" applyAlignment="1">
      <alignment horizontal="center"/>
    </xf>
    <xf numFmtId="169" fontId="8" fillId="2" borderId="0" xfId="7" applyNumberFormat="1" applyFont="1" applyFill="1" applyBorder="1"/>
    <xf numFmtId="165" fontId="7" fillId="2" borderId="0" xfId="0" quotePrefix="1" applyNumberFormat="1" applyFont="1" applyFill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9" fontId="7" fillId="2" borderId="0" xfId="0" quotePrefix="1" applyNumberFormat="1" applyFont="1" applyFill="1" applyAlignment="1">
      <alignment horizontal="center"/>
    </xf>
    <xf numFmtId="169" fontId="7" fillId="2" borderId="0" xfId="0" applyNumberFormat="1" applyFont="1" applyFill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169" fontId="0" fillId="2" borderId="0" xfId="7" applyNumberFormat="1" applyFont="1" applyFill="1" applyBorder="1"/>
    <xf numFmtId="165" fontId="0" fillId="2" borderId="0" xfId="0" applyNumberFormat="1" applyFill="1"/>
    <xf numFmtId="44" fontId="7" fillId="2" borderId="0" xfId="0" applyNumberFormat="1" applyFont="1" applyFill="1" applyAlignment="1">
      <alignment horizontal="center"/>
    </xf>
    <xf numFmtId="44" fontId="7" fillId="0" borderId="0" xfId="0" applyNumberFormat="1" applyFont="1" applyAlignment="1">
      <alignment horizontal="center"/>
    </xf>
    <xf numFmtId="49" fontId="10" fillId="6" borderId="0" xfId="0" applyNumberFormat="1" applyFont="1" applyFill="1" applyAlignment="1">
      <alignment vertical="center"/>
    </xf>
    <xf numFmtId="44" fontId="7" fillId="0" borderId="5" xfId="0" applyNumberFormat="1" applyFont="1" applyBorder="1" applyAlignment="1">
      <alignment horizontal="center"/>
    </xf>
    <xf numFmtId="166" fontId="0" fillId="2" borderId="5" xfId="0" applyNumberFormat="1" applyFill="1" applyBorder="1"/>
    <xf numFmtId="166" fontId="8" fillId="2" borderId="28" xfId="0" applyNumberFormat="1" applyFont="1" applyFill="1" applyBorder="1"/>
    <xf numFmtId="165" fontId="8" fillId="2" borderId="20" xfId="0" applyNumberFormat="1" applyFont="1" applyFill="1" applyBorder="1"/>
    <xf numFmtId="166" fontId="8" fillId="2" borderId="29" xfId="0" applyNumberFormat="1" applyFont="1" applyFill="1" applyBorder="1"/>
    <xf numFmtId="166" fontId="8" fillId="2" borderId="14" xfId="0" applyNumberFormat="1" applyFont="1" applyFill="1" applyBorder="1"/>
    <xf numFmtId="165" fontId="8" fillId="2" borderId="15" xfId="0" applyNumberFormat="1" applyFont="1" applyFill="1" applyBorder="1"/>
    <xf numFmtId="0" fontId="0" fillId="10" borderId="0" xfId="0" applyFill="1"/>
    <xf numFmtId="0" fontId="7" fillId="10" borderId="9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0" fillId="5" borderId="0" xfId="0" applyFill="1"/>
    <xf numFmtId="0" fontId="0" fillId="5" borderId="6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12" borderId="30" xfId="0" applyFill="1" applyBorder="1"/>
    <xf numFmtId="0" fontId="0" fillId="12" borderId="27" xfId="0" applyFill="1" applyBorder="1"/>
    <xf numFmtId="0" fontId="0" fillId="12" borderId="31" xfId="0" applyFill="1" applyBorder="1"/>
    <xf numFmtId="1" fontId="0" fillId="2" borderId="10" xfId="0" applyNumberFormat="1" applyFill="1" applyBorder="1"/>
    <xf numFmtId="0" fontId="0" fillId="2" borderId="17" xfId="0" applyFill="1" applyBorder="1" applyAlignment="1">
      <alignment wrapText="1"/>
    </xf>
    <xf numFmtId="0" fontId="0" fillId="2" borderId="18" xfId="0" applyFill="1" applyBorder="1"/>
    <xf numFmtId="9" fontId="0" fillId="2" borderId="18" xfId="4" applyFont="1" applyFill="1" applyBorder="1"/>
    <xf numFmtId="9" fontId="0" fillId="2" borderId="21" xfId="4" applyFont="1" applyFill="1" applyBorder="1"/>
    <xf numFmtId="0" fontId="0" fillId="2" borderId="5" xfId="0" applyFill="1" applyBorder="1"/>
    <xf numFmtId="0" fontId="7" fillId="5" borderId="0" xfId="5" applyFont="1" applyFill="1"/>
    <xf numFmtId="49" fontId="7" fillId="5" borderId="0" xfId="5" applyNumberFormat="1" applyFont="1" applyFill="1"/>
    <xf numFmtId="0" fontId="7" fillId="5" borderId="6" xfId="5" applyFont="1" applyFill="1" applyBorder="1"/>
    <xf numFmtId="44" fontId="7" fillId="2" borderId="5" xfId="0" applyNumberFormat="1" applyFont="1" applyFill="1" applyBorder="1" applyAlignment="1">
      <alignment horizontal="center"/>
    </xf>
    <xf numFmtId="169" fontId="0" fillId="2" borderId="0" xfId="7" applyNumberFormat="1" applyFont="1" applyFill="1" applyBorder="1" applyAlignment="1">
      <alignment wrapText="1"/>
    </xf>
    <xf numFmtId="0" fontId="7" fillId="2" borderId="6" xfId="0" quotePrefix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9" xfId="0" applyFont="1" applyFill="1" applyBorder="1"/>
    <xf numFmtId="0" fontId="8" fillId="5" borderId="4" xfId="0" applyFont="1" applyFill="1" applyBorder="1"/>
    <xf numFmtId="0" fontId="8" fillId="5" borderId="10" xfId="0" applyFont="1" applyFill="1" applyBorder="1" applyAlignment="1">
      <alignment horizontal="center"/>
    </xf>
    <xf numFmtId="0" fontId="8" fillId="5" borderId="10" xfId="0" applyFont="1" applyFill="1" applyBorder="1"/>
    <xf numFmtId="165" fontId="8" fillId="5" borderId="6" xfId="0" applyNumberFormat="1" applyFont="1" applyFill="1" applyBorder="1"/>
    <xf numFmtId="164" fontId="8" fillId="5" borderId="0" xfId="6" applyFont="1" applyFill="1" applyBorder="1"/>
    <xf numFmtId="164" fontId="8" fillId="5" borderId="6" xfId="6" applyFont="1" applyFill="1" applyBorder="1"/>
    <xf numFmtId="0" fontId="7" fillId="0" borderId="5" xfId="0" applyFont="1" applyBorder="1"/>
    <xf numFmtId="1" fontId="8" fillId="6" borderId="8" xfId="0" applyNumberFormat="1" applyFont="1" applyFill="1" applyBorder="1" applyAlignment="1">
      <alignment horizontal="center"/>
    </xf>
    <xf numFmtId="0" fontId="0" fillId="13" borderId="0" xfId="0" applyFill="1"/>
    <xf numFmtId="0" fontId="0" fillId="13" borderId="3" xfId="0" applyFill="1" applyBorder="1"/>
    <xf numFmtId="0" fontId="12" fillId="13" borderId="9" xfId="0" applyFont="1" applyFill="1" applyBorder="1"/>
    <xf numFmtId="0" fontId="0" fillId="13" borderId="9" xfId="0" applyFill="1" applyBorder="1"/>
    <xf numFmtId="0" fontId="0" fillId="13" borderId="4" xfId="0" applyFill="1" applyBorder="1"/>
    <xf numFmtId="0" fontId="0" fillId="13" borderId="7" xfId="0" applyFill="1" applyBorder="1"/>
    <xf numFmtId="0" fontId="0" fillId="13" borderId="10" xfId="0" applyFill="1" applyBorder="1"/>
    <xf numFmtId="0" fontId="0" fillId="13" borderId="8" xfId="0" applyFill="1" applyBorder="1"/>
    <xf numFmtId="0" fontId="8" fillId="13" borderId="0" xfId="0" applyFont="1" applyFill="1"/>
    <xf numFmtId="0" fontId="0" fillId="5" borderId="26" xfId="0" applyFill="1" applyBorder="1"/>
    <xf numFmtId="0" fontId="13" fillId="10" borderId="0" xfId="0" applyFont="1" applyFill="1"/>
    <xf numFmtId="0" fontId="13" fillId="2" borderId="0" xfId="0" applyFont="1" applyFill="1"/>
    <xf numFmtId="0" fontId="9" fillId="0" borderId="0" xfId="0" applyFont="1" applyAlignment="1">
      <alignment vertical="center" wrapText="1"/>
    </xf>
    <xf numFmtId="0" fontId="9" fillId="10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168" fontId="0" fillId="10" borderId="0" xfId="8" applyNumberFormat="1" applyFont="1" applyFill="1" applyBorder="1"/>
    <xf numFmtId="166" fontId="9" fillId="10" borderId="0" xfId="0" applyNumberFormat="1" applyFont="1" applyFill="1" applyAlignment="1">
      <alignment vertical="center"/>
    </xf>
    <xf numFmtId="0" fontId="8" fillId="5" borderId="7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6" xfId="0" applyFont="1" applyFill="1" applyBorder="1"/>
    <xf numFmtId="0" fontId="7" fillId="0" borderId="9" xfId="0" applyFont="1" applyBorder="1"/>
    <xf numFmtId="0" fontId="7" fillId="0" borderId="4" xfId="0" applyFont="1" applyBorder="1"/>
    <xf numFmtId="169" fontId="0" fillId="2" borderId="1" xfId="7" applyNumberFormat="1" applyFont="1" applyFill="1" applyBorder="1" applyAlignment="1">
      <alignment wrapText="1"/>
    </xf>
    <xf numFmtId="44" fontId="7" fillId="2" borderId="1" xfId="0" applyNumberFormat="1" applyFont="1" applyFill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44" fontId="7" fillId="0" borderId="1" xfId="0" applyNumberFormat="1" applyFont="1" applyBorder="1" applyAlignment="1">
      <alignment horizontal="center"/>
    </xf>
    <xf numFmtId="0" fontId="10" fillId="8" borderId="3" xfId="0" applyFont="1" applyFill="1" applyBorder="1" applyAlignment="1">
      <alignment vertical="center" wrapText="1"/>
    </xf>
    <xf numFmtId="0" fontId="9" fillId="4" borderId="35" xfId="0" applyFont="1" applyFill="1" applyBorder="1" applyAlignment="1">
      <alignment vertical="center" wrapText="1"/>
    </xf>
    <xf numFmtId="44" fontId="7" fillId="2" borderId="22" xfId="0" applyNumberFormat="1" applyFont="1" applyFill="1" applyBorder="1" applyAlignment="1">
      <alignment horizontal="center" wrapText="1"/>
    </xf>
    <xf numFmtId="0" fontId="0" fillId="0" borderId="27" xfId="0" applyBorder="1"/>
    <xf numFmtId="0" fontId="10" fillId="8" borderId="35" xfId="0" applyFont="1" applyFill="1" applyBorder="1" applyAlignment="1">
      <alignment vertical="center" wrapText="1"/>
    </xf>
    <xf numFmtId="165" fontId="0" fillId="2" borderId="1" xfId="0" applyNumberFormat="1" applyFill="1" applyBorder="1" applyAlignment="1">
      <alignment wrapText="1"/>
    </xf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0" fillId="2" borderId="21" xfId="0" applyFill="1" applyBorder="1"/>
    <xf numFmtId="0" fontId="0" fillId="2" borderId="0" xfId="0" applyFill="1" applyAlignment="1">
      <alignment horizontal="center"/>
    </xf>
    <xf numFmtId="0" fontId="8" fillId="5" borderId="0" xfId="0" applyFont="1" applyFill="1" applyAlignment="1">
      <alignment wrapText="1"/>
    </xf>
    <xf numFmtId="165" fontId="8" fillId="5" borderId="21" xfId="0" applyNumberFormat="1" applyFont="1" applyFill="1" applyBorder="1"/>
    <xf numFmtId="165" fontId="8" fillId="2" borderId="26" xfId="0" applyNumberFormat="1" applyFont="1" applyFill="1" applyBorder="1"/>
    <xf numFmtId="165" fontId="8" fillId="2" borderId="21" xfId="0" applyNumberFormat="1" applyFont="1" applyFill="1" applyBorder="1"/>
    <xf numFmtId="49" fontId="10" fillId="6" borderId="3" xfId="0" applyNumberFormat="1" applyFont="1" applyFill="1" applyBorder="1" applyAlignment="1">
      <alignment vertical="center"/>
    </xf>
    <xf numFmtId="0" fontId="0" fillId="10" borderId="10" xfId="0" applyFill="1" applyBorder="1"/>
    <xf numFmtId="0" fontId="0" fillId="10" borderId="8" xfId="0" applyFill="1" applyBorder="1"/>
    <xf numFmtId="0" fontId="10" fillId="8" borderId="36" xfId="0" applyFont="1" applyFill="1" applyBorder="1" applyAlignment="1">
      <alignment vertical="center" wrapText="1"/>
    </xf>
    <xf numFmtId="166" fontId="8" fillId="2" borderId="11" xfId="0" applyNumberFormat="1" applyFont="1" applyFill="1" applyBorder="1"/>
    <xf numFmtId="165" fontId="8" fillId="2" borderId="11" xfId="0" applyNumberFormat="1" applyFont="1" applyFill="1" applyBorder="1"/>
    <xf numFmtId="165" fontId="8" fillId="2" borderId="12" xfId="0" applyNumberFormat="1" applyFont="1" applyFill="1" applyBorder="1"/>
    <xf numFmtId="0" fontId="9" fillId="0" borderId="0" xfId="0" applyFont="1" applyAlignment="1">
      <alignment vertical="center"/>
    </xf>
    <xf numFmtId="166" fontId="8" fillId="0" borderId="0" xfId="0" applyNumberFormat="1" applyFont="1"/>
    <xf numFmtId="166" fontId="10" fillId="0" borderId="19" xfId="0" applyNumberFormat="1" applyFont="1" applyBorder="1" applyAlignment="1">
      <alignment vertical="center"/>
    </xf>
    <xf numFmtId="166" fontId="10" fillId="0" borderId="11" xfId="0" applyNumberFormat="1" applyFont="1" applyBorder="1" applyAlignment="1">
      <alignment vertical="center"/>
    </xf>
    <xf numFmtId="165" fontId="8" fillId="2" borderId="17" xfId="0" applyNumberFormat="1" applyFont="1" applyFill="1" applyBorder="1"/>
    <xf numFmtId="0" fontId="7" fillId="0" borderId="3" xfId="0" applyFont="1" applyBorder="1" applyAlignment="1">
      <alignment horizontal="center" wrapText="1"/>
    </xf>
    <xf numFmtId="165" fontId="8" fillId="14" borderId="17" xfId="0" applyNumberFormat="1" applyFont="1" applyFill="1" applyBorder="1"/>
    <xf numFmtId="165" fontId="7" fillId="2" borderId="0" xfId="0" quotePrefix="1" applyNumberFormat="1" applyFont="1" applyFill="1" applyAlignment="1">
      <alignment horizontal="right"/>
    </xf>
    <xf numFmtId="166" fontId="7" fillId="0" borderId="0" xfId="0" applyNumberFormat="1" applyFont="1" applyAlignment="1">
      <alignment horizontal="right"/>
    </xf>
    <xf numFmtId="166" fontId="7" fillId="0" borderId="6" xfId="0" applyNumberFormat="1" applyFont="1" applyBorder="1" applyAlignment="1">
      <alignment horizontal="right"/>
    </xf>
    <xf numFmtId="166" fontId="10" fillId="2" borderId="35" xfId="0" applyNumberFormat="1" applyFont="1" applyFill="1" applyBorder="1" applyAlignment="1">
      <alignment vertical="center"/>
    </xf>
    <xf numFmtId="0" fontId="7" fillId="0" borderId="37" xfId="0" applyFont="1" applyBorder="1" applyAlignment="1">
      <alignment horizontal="center"/>
    </xf>
    <xf numFmtId="169" fontId="8" fillId="2" borderId="38" xfId="7" applyNumberFormat="1" applyFont="1" applyFill="1" applyBorder="1"/>
    <xf numFmtId="165" fontId="7" fillId="2" borderId="38" xfId="0" applyNumberFormat="1" applyFont="1" applyFill="1" applyBorder="1" applyAlignment="1">
      <alignment horizontal="right"/>
    </xf>
    <xf numFmtId="0" fontId="8" fillId="0" borderId="38" xfId="0" applyFont="1" applyBorder="1"/>
    <xf numFmtId="166" fontId="7" fillId="0" borderId="38" xfId="0" applyNumberFormat="1" applyFont="1" applyBorder="1" applyAlignment="1">
      <alignment horizontal="center"/>
    </xf>
    <xf numFmtId="166" fontId="8" fillId="2" borderId="38" xfId="0" applyNumberFormat="1" applyFont="1" applyFill="1" applyBorder="1"/>
    <xf numFmtId="166" fontId="8" fillId="2" borderId="39" xfId="0" applyNumberFormat="1" applyFont="1" applyFill="1" applyBorder="1"/>
    <xf numFmtId="166" fontId="7" fillId="0" borderId="38" xfId="0" applyNumberFormat="1" applyFont="1" applyBorder="1" applyAlignment="1">
      <alignment horizontal="right"/>
    </xf>
    <xf numFmtId="0" fontId="8" fillId="2" borderId="38" xfId="0" applyFont="1" applyFill="1" applyBorder="1"/>
    <xf numFmtId="166" fontId="8" fillId="2" borderId="40" xfId="0" applyNumberFormat="1" applyFont="1" applyFill="1" applyBorder="1"/>
    <xf numFmtId="166" fontId="8" fillId="2" borderId="27" xfId="0" applyNumberFormat="1" applyFont="1" applyFill="1" applyBorder="1"/>
    <xf numFmtId="165" fontId="8" fillId="2" borderId="31" xfId="0" applyNumberFormat="1" applyFont="1" applyFill="1" applyBorder="1"/>
    <xf numFmtId="169" fontId="7" fillId="2" borderId="38" xfId="0" applyNumberFormat="1" applyFont="1" applyFill="1" applyBorder="1" applyAlignment="1">
      <alignment horizontal="center"/>
    </xf>
    <xf numFmtId="0" fontId="10" fillId="8" borderId="17" xfId="0" applyFont="1" applyFill="1" applyBorder="1" applyAlignment="1">
      <alignment vertical="center" wrapText="1"/>
    </xf>
    <xf numFmtId="166" fontId="10" fillId="2" borderId="18" xfId="0" applyNumberFormat="1" applyFont="1" applyFill="1" applyBorder="1" applyAlignment="1">
      <alignment vertical="center"/>
    </xf>
    <xf numFmtId="166" fontId="10" fillId="2" borderId="26" xfId="0" applyNumberFormat="1" applyFont="1" applyFill="1" applyBorder="1" applyAlignment="1">
      <alignment vertical="center"/>
    </xf>
    <xf numFmtId="49" fontId="9" fillId="4" borderId="28" xfId="0" applyNumberFormat="1" applyFont="1" applyFill="1" applyBorder="1" applyAlignment="1">
      <alignment vertical="center"/>
    </xf>
    <xf numFmtId="166" fontId="10" fillId="2" borderId="41" xfId="0" applyNumberFormat="1" applyFont="1" applyFill="1" applyBorder="1" applyAlignment="1">
      <alignment vertical="center"/>
    </xf>
    <xf numFmtId="166" fontId="8" fillId="2" borderId="26" xfId="0" applyNumberFormat="1" applyFont="1" applyFill="1" applyBorder="1"/>
    <xf numFmtId="166" fontId="8" fillId="2" borderId="18" xfId="0" applyNumberFormat="1" applyFont="1" applyFill="1" applyBorder="1"/>
    <xf numFmtId="49" fontId="9" fillId="4" borderId="17" xfId="0" applyNumberFormat="1" applyFont="1" applyFill="1" applyBorder="1" applyAlignment="1">
      <alignment vertical="center"/>
    </xf>
    <xf numFmtId="0" fontId="10" fillId="8" borderId="18" xfId="0" applyFont="1" applyFill="1" applyBorder="1" applyAlignment="1">
      <alignment vertical="center" wrapText="1"/>
    </xf>
    <xf numFmtId="0" fontId="0" fillId="5" borderId="9" xfId="0" applyFill="1" applyBorder="1"/>
    <xf numFmtId="3" fontId="0" fillId="2" borderId="0" xfId="0" applyNumberFormat="1" applyFill="1"/>
    <xf numFmtId="0" fontId="12" fillId="0" borderId="0" xfId="0" applyFont="1"/>
    <xf numFmtId="1" fontId="0" fillId="2" borderId="6" xfId="0" applyNumberFormat="1" applyFill="1" applyBorder="1"/>
    <xf numFmtId="166" fontId="7" fillId="2" borderId="0" xfId="0" applyNumberFormat="1" applyFont="1" applyFill="1" applyAlignment="1">
      <alignment horizontal="right"/>
    </xf>
    <xf numFmtId="165" fontId="8" fillId="2" borderId="0" xfId="0" applyNumberFormat="1" applyFont="1" applyFill="1" applyAlignment="1">
      <alignment horizontal="right"/>
    </xf>
    <xf numFmtId="170" fontId="8" fillId="0" borderId="0" xfId="0" applyNumberFormat="1" applyFont="1"/>
    <xf numFmtId="166" fontId="7" fillId="6" borderId="0" xfId="0" applyNumberFormat="1" applyFont="1" applyFill="1" applyAlignment="1">
      <alignment horizontal="right"/>
    </xf>
    <xf numFmtId="0" fontId="7" fillId="0" borderId="9" xfId="0" applyFont="1" applyBorder="1" applyAlignment="1">
      <alignment horizontal="center" wrapText="1"/>
    </xf>
    <xf numFmtId="166" fontId="7" fillId="6" borderId="0" xfId="0" applyNumberFormat="1" applyFont="1" applyFill="1"/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2" borderId="7" xfId="0" applyFill="1" applyBorder="1"/>
    <xf numFmtId="0" fontId="0" fillId="0" borderId="3" xfId="0" applyBorder="1" applyAlignment="1">
      <alignment wrapText="1"/>
    </xf>
    <xf numFmtId="0" fontId="0" fillId="5" borderId="1" xfId="0" applyFill="1" applyBorder="1"/>
    <xf numFmtId="0" fontId="0" fillId="5" borderId="7" xfId="0" applyFill="1" applyBorder="1"/>
    <xf numFmtId="0" fontId="0" fillId="6" borderId="5" xfId="0" applyFill="1" applyBorder="1"/>
    <xf numFmtId="0" fontId="7" fillId="0" borderId="35" xfId="0" applyFont="1" applyBorder="1" applyAlignment="1">
      <alignment wrapText="1"/>
    </xf>
    <xf numFmtId="44" fontId="8" fillId="5" borderId="35" xfId="8" applyFont="1" applyFill="1" applyBorder="1"/>
    <xf numFmtId="44" fontId="8" fillId="5" borderId="27" xfId="8" applyFont="1" applyFill="1" applyBorder="1"/>
    <xf numFmtId="0" fontId="8" fillId="5" borderId="35" xfId="0" applyFont="1" applyFill="1" applyBorder="1"/>
    <xf numFmtId="0" fontId="7" fillId="0" borderId="37" xfId="0" applyFont="1" applyBorder="1"/>
    <xf numFmtId="0" fontId="8" fillId="5" borderId="26" xfId="0" applyFont="1" applyFill="1" applyBorder="1"/>
    <xf numFmtId="0" fontId="7" fillId="0" borderId="37" xfId="0" applyFont="1" applyBorder="1" applyAlignment="1">
      <alignment wrapText="1"/>
    </xf>
    <xf numFmtId="171" fontId="8" fillId="5" borderId="26" xfId="0" applyNumberFormat="1" applyFont="1" applyFill="1" applyBorder="1"/>
    <xf numFmtId="165" fontId="8" fillId="5" borderId="26" xfId="0" applyNumberFormat="1" applyFont="1" applyFill="1" applyBorder="1"/>
  </cellXfs>
  <cellStyles count="9">
    <cellStyle name="Comma" xfId="7" builtinId="3"/>
    <cellStyle name="Currency" xfId="8" builtinId="4"/>
    <cellStyle name="Currency 2" xfId="6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Normal 2" xfId="5" xr:uid="{00000000-0005-0000-0000-000007000000}"/>
    <cellStyle name="Percent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BDO">
  <a:themeElements>
    <a:clrScheme name="BDO Australia 2017">
      <a:dk1>
        <a:sysClr val="windowText" lastClr="000000"/>
      </a:dk1>
      <a:lt1>
        <a:sysClr val="window" lastClr="FFFFFF"/>
      </a:lt1>
      <a:dk2>
        <a:srgbClr val="404040"/>
      </a:dk2>
      <a:lt2>
        <a:srgbClr val="ED1A3B"/>
      </a:lt2>
      <a:accent1>
        <a:srgbClr val="218F8B"/>
      </a:accent1>
      <a:accent2>
        <a:srgbClr val="02A5E2"/>
      </a:accent2>
      <a:accent3>
        <a:srgbClr val="DF8639"/>
      </a:accent3>
      <a:accent4>
        <a:srgbClr val="98002E"/>
      </a:accent4>
      <a:accent5>
        <a:srgbClr val="657C91"/>
      </a:accent5>
      <a:accent6>
        <a:srgbClr val="E7E7E7"/>
      </a:accent6>
      <a:hlink>
        <a:srgbClr val="428BCA"/>
      </a:hlink>
      <a:folHlink>
        <a:srgbClr val="428BCA"/>
      </a:folHlink>
    </a:clrScheme>
    <a:fontScheme name="BDO Trebuch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0"/>
  <sheetViews>
    <sheetView topLeftCell="A18" zoomScale="120" zoomScaleNormal="120" workbookViewId="0">
      <selection activeCell="H36" sqref="H36"/>
    </sheetView>
  </sheetViews>
  <sheetFormatPr defaultColWidth="9" defaultRowHeight="12.75" x14ac:dyDescent="0.2"/>
  <cols>
    <col min="1" max="1" width="3.625" style="1" customWidth="1"/>
    <col min="2" max="2" width="25.75" style="1" bestFit="1" customWidth="1"/>
    <col min="3" max="3" width="16.25" style="1" customWidth="1"/>
    <col min="4" max="4" width="13.625" style="1" customWidth="1"/>
    <col min="5" max="5" width="14.875" style="1" customWidth="1"/>
    <col min="6" max="6" width="16.5" style="1" customWidth="1"/>
    <col min="7" max="7" width="9.5" style="1" bestFit="1" customWidth="1"/>
    <col min="8" max="8" width="11.75" style="1" customWidth="1"/>
    <col min="9" max="9" width="10" style="1" customWidth="1"/>
    <col min="10" max="10" width="11.125" style="1" bestFit="1" customWidth="1"/>
    <col min="11" max="16384" width="9" style="1"/>
  </cols>
  <sheetData>
    <row r="1" spans="1:6" x14ac:dyDescent="0.2">
      <c r="B1" s="15"/>
      <c r="C1" s="1" t="s">
        <v>133</v>
      </c>
    </row>
    <row r="2" spans="1:6" x14ac:dyDescent="0.2">
      <c r="B2" s="17"/>
      <c r="C2" s="1" t="s">
        <v>117</v>
      </c>
    </row>
    <row r="3" spans="1:6" x14ac:dyDescent="0.2">
      <c r="B3" s="144"/>
      <c r="C3" s="1" t="s">
        <v>148</v>
      </c>
    </row>
    <row r="4" spans="1:6" x14ac:dyDescent="0.2">
      <c r="B4" s="126"/>
      <c r="C4" s="1" t="s">
        <v>149</v>
      </c>
    </row>
    <row r="6" spans="1:6" ht="39" thickBot="1" x14ac:dyDescent="0.25">
      <c r="B6" s="16" t="s">
        <v>85</v>
      </c>
      <c r="C6" s="30" t="s">
        <v>126</v>
      </c>
    </row>
    <row r="7" spans="1:6" ht="13.5" thickBot="1" x14ac:dyDescent="0.25">
      <c r="B7" s="127" t="s">
        <v>146</v>
      </c>
      <c r="C7" s="69"/>
    </row>
    <row r="8" spans="1:6" x14ac:dyDescent="0.2">
      <c r="A8" s="1" t="s">
        <v>85</v>
      </c>
      <c r="B8" s="26" t="s">
        <v>116</v>
      </c>
      <c r="C8" s="50">
        <v>2180</v>
      </c>
    </row>
    <row r="9" spans="1:6" x14ac:dyDescent="0.2">
      <c r="B9" s="27" t="s">
        <v>97</v>
      </c>
      <c r="C9" s="51">
        <v>16.05</v>
      </c>
    </row>
    <row r="10" spans="1:6" ht="13.5" thickBot="1" x14ac:dyDescent="0.25">
      <c r="A10" s="1" t="s">
        <v>98</v>
      </c>
      <c r="B10" s="28" t="s">
        <v>113</v>
      </c>
      <c r="C10" s="52">
        <v>39</v>
      </c>
    </row>
    <row r="11" spans="1:6" x14ac:dyDescent="0.2">
      <c r="B11" s="26" t="s">
        <v>39</v>
      </c>
      <c r="C11" s="53">
        <v>6</v>
      </c>
    </row>
    <row r="12" spans="1:6" x14ac:dyDescent="0.2">
      <c r="B12" s="27" t="s">
        <v>94</v>
      </c>
      <c r="C12" s="54">
        <v>9</v>
      </c>
    </row>
    <row r="13" spans="1:6" ht="13.5" thickBot="1" x14ac:dyDescent="0.25">
      <c r="B13" s="28" t="s">
        <v>38</v>
      </c>
      <c r="C13" s="55">
        <v>8</v>
      </c>
    </row>
    <row r="14" spans="1:6" ht="13.5" thickBot="1" x14ac:dyDescent="0.25">
      <c r="C14" s="29"/>
    </row>
    <row r="15" spans="1:6" ht="25.5" x14ac:dyDescent="0.2">
      <c r="B15" s="127" t="s">
        <v>131</v>
      </c>
      <c r="C15" s="42"/>
      <c r="D15" s="33"/>
      <c r="E15" s="33"/>
      <c r="F15" s="43"/>
    </row>
    <row r="16" spans="1:6" x14ac:dyDescent="0.2">
      <c r="B16" s="44" t="s">
        <v>41</v>
      </c>
      <c r="C16" s="56">
        <v>77161.944444444438</v>
      </c>
      <c r="F16" s="45"/>
    </row>
    <row r="17" spans="2:9" x14ac:dyDescent="0.2">
      <c r="B17" s="44" t="s">
        <v>84</v>
      </c>
      <c r="C17" s="56">
        <f>98722.954248366/2</f>
        <v>49361.477124183002</v>
      </c>
      <c r="F17" s="45"/>
    </row>
    <row r="18" spans="2:9" x14ac:dyDescent="0.2">
      <c r="B18" s="46" t="s">
        <v>42</v>
      </c>
      <c r="C18" s="56">
        <v>6680.6470588235297</v>
      </c>
      <c r="F18" s="45"/>
    </row>
    <row r="19" spans="2:9" x14ac:dyDescent="0.2">
      <c r="B19" s="44" t="s">
        <v>43</v>
      </c>
      <c r="C19" s="56">
        <v>9534.1944444444453</v>
      </c>
      <c r="F19" s="45"/>
    </row>
    <row r="20" spans="2:9" x14ac:dyDescent="0.2">
      <c r="B20" s="44" t="s">
        <v>46</v>
      </c>
      <c r="C20" s="12">
        <v>852.41176470588243</v>
      </c>
      <c r="F20" s="45"/>
    </row>
    <row r="21" spans="2:9" x14ac:dyDescent="0.2">
      <c r="B21" s="44" t="s">
        <v>130</v>
      </c>
      <c r="C21" s="12"/>
      <c r="F21" s="45"/>
    </row>
    <row r="22" spans="2:9" ht="13.5" thickBot="1" x14ac:dyDescent="0.25">
      <c r="B22" s="27" t="s">
        <v>8</v>
      </c>
      <c r="C22" s="47" t="s">
        <v>127</v>
      </c>
      <c r="D22" s="69" t="s">
        <v>123</v>
      </c>
      <c r="E22" s="57" t="s">
        <v>121</v>
      </c>
      <c r="F22" s="48" t="s">
        <v>120</v>
      </c>
    </row>
    <row r="23" spans="2:9" ht="13.5" thickBot="1" x14ac:dyDescent="0.25">
      <c r="B23" s="27" t="s">
        <v>85</v>
      </c>
      <c r="C23" s="66" t="s">
        <v>9</v>
      </c>
      <c r="D23" s="106">
        <v>3</v>
      </c>
      <c r="E23" s="62">
        <v>1.72</v>
      </c>
      <c r="F23" s="65">
        <v>0.01</v>
      </c>
    </row>
    <row r="24" spans="2:9" ht="13.5" thickBot="1" x14ac:dyDescent="0.25">
      <c r="B24" s="27"/>
      <c r="C24" s="66" t="s">
        <v>10</v>
      </c>
      <c r="D24" s="106">
        <v>5</v>
      </c>
      <c r="E24" s="62">
        <v>1.72</v>
      </c>
      <c r="F24" s="65">
        <v>0.15</v>
      </c>
    </row>
    <row r="25" spans="2:9" ht="13.5" thickBot="1" x14ac:dyDescent="0.25">
      <c r="B25" s="27"/>
      <c r="C25" s="66" t="s">
        <v>11</v>
      </c>
      <c r="D25" s="106">
        <v>10</v>
      </c>
      <c r="E25" s="62">
        <v>2.9</v>
      </c>
      <c r="F25" s="65">
        <v>0.84</v>
      </c>
    </row>
    <row r="26" spans="2:9" ht="13.5" thickBot="1" x14ac:dyDescent="0.25">
      <c r="B26" s="27"/>
      <c r="C26" s="66" t="s">
        <v>122</v>
      </c>
      <c r="D26" s="59"/>
      <c r="E26" s="63"/>
      <c r="F26" s="60" t="s">
        <v>135</v>
      </c>
    </row>
    <row r="27" spans="2:9" x14ac:dyDescent="0.2">
      <c r="B27" s="27"/>
      <c r="C27" s="23" t="s">
        <v>85</v>
      </c>
      <c r="D27" s="1" t="s">
        <v>85</v>
      </c>
      <c r="E27" s="25" t="s">
        <v>85</v>
      </c>
      <c r="F27" s="48"/>
    </row>
    <row r="28" spans="2:9" ht="26.25" thickBot="1" x14ac:dyDescent="0.25">
      <c r="B28" s="27"/>
      <c r="C28" s="25" t="s">
        <v>128</v>
      </c>
      <c r="D28" s="69" t="s">
        <v>125</v>
      </c>
      <c r="E28" s="68" t="s">
        <v>129</v>
      </c>
      <c r="F28" s="45"/>
    </row>
    <row r="29" spans="2:9" ht="13.5" thickBot="1" x14ac:dyDescent="0.25">
      <c r="B29" s="27" t="s">
        <v>7</v>
      </c>
      <c r="C29" s="66" t="s">
        <v>15</v>
      </c>
      <c r="D29" s="58" t="s">
        <v>14</v>
      </c>
      <c r="E29" s="64">
        <v>0.14455754362011336</v>
      </c>
      <c r="F29" s="45"/>
    </row>
    <row r="30" spans="2:9" ht="13.5" thickBot="1" x14ac:dyDescent="0.25">
      <c r="B30" s="27"/>
      <c r="C30" s="66" t="s">
        <v>16</v>
      </c>
      <c r="D30" s="58" t="s">
        <v>32</v>
      </c>
      <c r="E30" s="64">
        <v>0.19922340056720395</v>
      </c>
      <c r="F30" s="45"/>
      <c r="I30" s="1" t="s">
        <v>35</v>
      </c>
    </row>
    <row r="31" spans="2:9" ht="26.25" thickBot="1" x14ac:dyDescent="0.25">
      <c r="B31" s="27"/>
      <c r="C31" s="66" t="s">
        <v>34</v>
      </c>
      <c r="D31" s="61" t="s">
        <v>37</v>
      </c>
      <c r="E31" s="64">
        <v>8.1825421980962158E-3</v>
      </c>
      <c r="F31" s="45"/>
    </row>
    <row r="32" spans="2:9" x14ac:dyDescent="0.2">
      <c r="B32" s="27"/>
      <c r="C32" s="259" t="s">
        <v>124</v>
      </c>
      <c r="D32" s="260"/>
      <c r="E32" s="261"/>
      <c r="F32" s="45"/>
    </row>
    <row r="33" spans="2:12" ht="13.5" thickBot="1" x14ac:dyDescent="0.25">
      <c r="B33" s="27"/>
      <c r="C33" s="287"/>
      <c r="D33" s="15"/>
      <c r="E33" s="288"/>
      <c r="F33" s="45"/>
    </row>
    <row r="34" spans="2:12" ht="39" thickBot="1" x14ac:dyDescent="0.25">
      <c r="B34" s="27"/>
      <c r="C34" s="199" t="s">
        <v>214</v>
      </c>
      <c r="D34" s="289" t="s">
        <v>215</v>
      </c>
      <c r="E34" s="289" t="s">
        <v>213</v>
      </c>
      <c r="F34" s="358" t="s">
        <v>273</v>
      </c>
      <c r="G34" s="290" t="s">
        <v>35</v>
      </c>
      <c r="H34" s="322" t="s">
        <v>274</v>
      </c>
      <c r="I34" s="368" t="s">
        <v>265</v>
      </c>
      <c r="J34" s="372" t="s">
        <v>301</v>
      </c>
      <c r="K34" s="374" t="s">
        <v>302</v>
      </c>
      <c r="L34" s="374" t="s">
        <v>303</v>
      </c>
    </row>
    <row r="35" spans="2:12" ht="13.5" thickBot="1" x14ac:dyDescent="0.25">
      <c r="B35" s="267" t="s">
        <v>264</v>
      </c>
      <c r="C35" s="66" t="s">
        <v>2</v>
      </c>
      <c r="D35" s="58" t="s">
        <v>1</v>
      </c>
      <c r="E35" s="106">
        <v>70</v>
      </c>
      <c r="F35" s="106">
        <v>1</v>
      </c>
      <c r="G35" s="307">
        <f>1.39-0.2</f>
        <v>1.19</v>
      </c>
      <c r="H35" s="321">
        <f>G35*F35*E35</f>
        <v>83.3</v>
      </c>
      <c r="I35" s="369">
        <v>70</v>
      </c>
      <c r="J35" s="373">
        <v>5.6</v>
      </c>
      <c r="K35" s="375">
        <f>E35/J35</f>
        <v>12.5</v>
      </c>
      <c r="L35" s="376">
        <f>I35/J35</f>
        <v>12.5</v>
      </c>
    </row>
    <row r="36" spans="2:12" ht="26.25" thickBot="1" x14ac:dyDescent="0.25">
      <c r="B36" s="27" t="s">
        <v>85</v>
      </c>
      <c r="C36" s="287" t="s">
        <v>4</v>
      </c>
      <c r="D36" s="306" t="s">
        <v>272</v>
      </c>
      <c r="E36" s="67">
        <v>75</v>
      </c>
      <c r="F36" s="67">
        <v>1.5</v>
      </c>
      <c r="G36" s="80">
        <f>G35</f>
        <v>1.19</v>
      </c>
      <c r="H36" s="323">
        <f>G36*F36*E36</f>
        <v>133.875</v>
      </c>
      <c r="I36" s="370">
        <v>40</v>
      </c>
      <c r="J36" s="373">
        <v>22.2</v>
      </c>
      <c r="K36" s="375">
        <f t="shared" ref="K36:K37" si="0">E36/J36</f>
        <v>3.3783783783783785</v>
      </c>
      <c r="L36" s="376">
        <f t="shared" ref="L36" si="1">I36/J36</f>
        <v>1.8018018018018018</v>
      </c>
    </row>
    <row r="37" spans="2:12" ht="26.25" thickBot="1" x14ac:dyDescent="0.25">
      <c r="B37" s="27"/>
      <c r="C37" s="66" t="s">
        <v>6</v>
      </c>
      <c r="D37" s="61" t="s">
        <v>266</v>
      </c>
      <c r="E37" s="106">
        <v>45</v>
      </c>
      <c r="F37" s="106">
        <f>8*1.85</f>
        <v>14.8</v>
      </c>
      <c r="G37" s="309">
        <f>G36</f>
        <v>1.19</v>
      </c>
      <c r="H37" s="308">
        <f t="shared" ref="H37" si="2">E37/F37*G37</f>
        <v>3.618243243243243</v>
      </c>
      <c r="I37" s="370">
        <f>I36*0.6/F37</f>
        <v>1.6216216216216215</v>
      </c>
      <c r="J37" s="373">
        <v>14.6</v>
      </c>
      <c r="K37" s="375">
        <f t="shared" si="0"/>
        <v>3.0821917808219177</v>
      </c>
      <c r="L37" s="376">
        <f>I37</f>
        <v>1.6216216216216215</v>
      </c>
    </row>
    <row r="38" spans="2:12" ht="13.5" thickBot="1" x14ac:dyDescent="0.25">
      <c r="B38" s="28"/>
      <c r="C38" s="286" t="s">
        <v>216</v>
      </c>
      <c r="D38" s="263" t="s">
        <v>33</v>
      </c>
      <c r="E38" s="262"/>
      <c r="F38" s="262"/>
      <c r="G38" s="49"/>
      <c r="H38" s="28"/>
      <c r="I38" s="371"/>
      <c r="J38" s="373"/>
      <c r="K38" s="373"/>
      <c r="L38" s="373"/>
    </row>
    <row r="39" spans="2:12" ht="13.5" thickBot="1" x14ac:dyDescent="0.25">
      <c r="C39" s="29"/>
      <c r="E39" s="356" t="s">
        <v>85</v>
      </c>
    </row>
    <row r="40" spans="2:12" ht="25.5" x14ac:dyDescent="0.2">
      <c r="B40" s="127" t="s">
        <v>134</v>
      </c>
      <c r="C40" s="85"/>
    </row>
    <row r="41" spans="2:12" x14ac:dyDescent="0.2">
      <c r="B41" s="44" t="s">
        <v>69</v>
      </c>
      <c r="C41" s="86">
        <v>94035.012958994179</v>
      </c>
    </row>
    <row r="42" spans="2:12" x14ac:dyDescent="0.2">
      <c r="B42" s="44" t="s">
        <v>49</v>
      </c>
      <c r="C42" s="86">
        <v>24676.823529411766</v>
      </c>
    </row>
    <row r="43" spans="2:12" x14ac:dyDescent="0.2">
      <c r="B43" s="44" t="s">
        <v>50</v>
      </c>
      <c r="C43" s="86">
        <v>18235</v>
      </c>
    </row>
    <row r="44" spans="2:12" x14ac:dyDescent="0.2">
      <c r="B44" s="44" t="s">
        <v>52</v>
      </c>
      <c r="C44" s="86">
        <v>7376.333333333333</v>
      </c>
    </row>
    <row r="45" spans="2:12" x14ac:dyDescent="0.2">
      <c r="B45" s="44" t="s">
        <v>87</v>
      </c>
      <c r="C45" s="86">
        <v>9740.5539181286567</v>
      </c>
    </row>
    <row r="46" spans="2:12" x14ac:dyDescent="0.2">
      <c r="B46" s="44" t="s">
        <v>54</v>
      </c>
      <c r="C46" s="86">
        <v>7231.666666666667</v>
      </c>
    </row>
    <row r="47" spans="2:12" x14ac:dyDescent="0.2">
      <c r="B47" s="44" t="s">
        <v>55</v>
      </c>
      <c r="C47" s="86">
        <v>3139.7222222222222</v>
      </c>
    </row>
    <row r="48" spans="2:12" x14ac:dyDescent="0.2">
      <c r="B48" s="44" t="s">
        <v>84</v>
      </c>
      <c r="C48" s="86">
        <f>98722.954248366/2</f>
        <v>49361.477124183002</v>
      </c>
    </row>
    <row r="49" spans="2:15" x14ac:dyDescent="0.2">
      <c r="B49" s="44" t="s">
        <v>56</v>
      </c>
      <c r="C49" s="86">
        <v>17502.029411764706</v>
      </c>
    </row>
    <row r="50" spans="2:15" x14ac:dyDescent="0.2">
      <c r="B50" s="44" t="s">
        <v>57</v>
      </c>
      <c r="C50" s="86">
        <v>853.61111111111109</v>
      </c>
    </row>
    <row r="51" spans="2:15" x14ac:dyDescent="0.2">
      <c r="B51" s="44" t="s">
        <v>58</v>
      </c>
      <c r="C51" s="86">
        <v>17036.016339869282</v>
      </c>
    </row>
    <row r="52" spans="2:15" ht="13.5" thickBot="1" x14ac:dyDescent="0.25">
      <c r="B52" s="87" t="s">
        <v>102</v>
      </c>
      <c r="C52" s="88"/>
    </row>
    <row r="53" spans="2:15" ht="13.5" thickBot="1" x14ac:dyDescent="0.25">
      <c r="C53" s="29"/>
    </row>
    <row r="54" spans="2:15" x14ac:dyDescent="0.2">
      <c r="B54" s="127" t="s">
        <v>74</v>
      </c>
      <c r="C54" s="85"/>
      <c r="D54" s="7"/>
    </row>
    <row r="55" spans="2:15" x14ac:dyDescent="0.2">
      <c r="B55" s="44" t="s">
        <v>76</v>
      </c>
      <c r="C55" s="86">
        <v>1465433.4470031608</v>
      </c>
      <c r="D55" s="90"/>
    </row>
    <row r="56" spans="2:15" ht="13.5" thickBot="1" x14ac:dyDescent="0.25">
      <c r="B56" s="87" t="s">
        <v>77</v>
      </c>
      <c r="C56" s="88">
        <v>3659375</v>
      </c>
      <c r="D56" s="90"/>
    </row>
    <row r="57" spans="2:15" ht="13.5" thickBot="1" x14ac:dyDescent="0.25">
      <c r="B57" s="3"/>
      <c r="C57" s="90"/>
      <c r="D57" s="90"/>
    </row>
    <row r="58" spans="2:15" x14ac:dyDescent="0.2">
      <c r="B58" s="128" t="s">
        <v>147</v>
      </c>
      <c r="C58" s="129" t="s">
        <v>143</v>
      </c>
      <c r="D58" s="129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1"/>
    </row>
    <row r="59" spans="2:15" x14ac:dyDescent="0.2">
      <c r="B59" s="132" t="s">
        <v>85</v>
      </c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4"/>
    </row>
    <row r="60" spans="2:15" x14ac:dyDescent="0.2">
      <c r="B60" s="135"/>
      <c r="C60" s="136" t="s">
        <v>92</v>
      </c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4"/>
    </row>
    <row r="61" spans="2:15" x14ac:dyDescent="0.2">
      <c r="B61" s="137" t="s">
        <v>89</v>
      </c>
      <c r="C61" s="138" t="s">
        <v>91</v>
      </c>
      <c r="D61" s="138" t="s">
        <v>19</v>
      </c>
      <c r="E61" s="138" t="s">
        <v>20</v>
      </c>
      <c r="F61" s="138" t="s">
        <v>82</v>
      </c>
      <c r="G61" s="139" t="s">
        <v>21</v>
      </c>
      <c r="H61" s="138" t="s">
        <v>22</v>
      </c>
      <c r="I61" s="138" t="s">
        <v>83</v>
      </c>
      <c r="J61" s="138" t="s">
        <v>23</v>
      </c>
      <c r="K61" s="138" t="s">
        <v>24</v>
      </c>
      <c r="L61" s="138" t="s">
        <v>25</v>
      </c>
      <c r="M61" s="139" t="s">
        <v>26</v>
      </c>
      <c r="N61" s="138" t="s">
        <v>27</v>
      </c>
      <c r="O61" s="140" t="s">
        <v>28</v>
      </c>
    </row>
    <row r="62" spans="2:15" x14ac:dyDescent="0.2">
      <c r="B62" s="135"/>
      <c r="C62" s="133" t="s">
        <v>18</v>
      </c>
      <c r="D62" s="265">
        <v>29</v>
      </c>
      <c r="E62" s="265">
        <v>28.5</v>
      </c>
      <c r="F62" s="265">
        <v>25.2</v>
      </c>
      <c r="G62" s="265">
        <v>19.3</v>
      </c>
      <c r="H62" s="265">
        <v>15.75</v>
      </c>
      <c r="I62" s="265">
        <v>12.85</v>
      </c>
      <c r="J62" s="265">
        <v>10.199999999999999</v>
      </c>
      <c r="K62" s="265">
        <v>11</v>
      </c>
      <c r="L62" s="265">
        <v>13.5</v>
      </c>
      <c r="M62" s="265">
        <v>19.8</v>
      </c>
      <c r="N62" s="265">
        <v>19.399999999999999</v>
      </c>
      <c r="O62" s="266">
        <v>12.95</v>
      </c>
    </row>
    <row r="63" spans="2:15" x14ac:dyDescent="0.2">
      <c r="B63" s="135"/>
      <c r="C63" s="133" t="s">
        <v>29</v>
      </c>
      <c r="D63" s="265">
        <v>27.5</v>
      </c>
      <c r="E63" s="265">
        <v>27</v>
      </c>
      <c r="F63" s="265">
        <v>24.8</v>
      </c>
      <c r="G63" s="265">
        <v>18.100000000000001</v>
      </c>
      <c r="H63" s="265">
        <v>14.9</v>
      </c>
      <c r="I63" s="265">
        <v>12.2</v>
      </c>
      <c r="J63" s="265">
        <v>8.5</v>
      </c>
      <c r="K63" s="265">
        <v>10</v>
      </c>
      <c r="L63" s="265">
        <v>12.9</v>
      </c>
      <c r="M63" s="265">
        <v>18.899999999999999</v>
      </c>
      <c r="N63" s="265">
        <v>19</v>
      </c>
      <c r="O63" s="266">
        <v>12.1</v>
      </c>
    </row>
    <row r="64" spans="2:15" x14ac:dyDescent="0.2">
      <c r="B64" s="135"/>
      <c r="C64" s="133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2"/>
    </row>
    <row r="65" spans="2:15" x14ac:dyDescent="0.2">
      <c r="B65" s="135"/>
      <c r="C65" s="136" t="s">
        <v>90</v>
      </c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2"/>
    </row>
    <row r="66" spans="2:15" x14ac:dyDescent="0.2">
      <c r="B66" s="137" t="s">
        <v>89</v>
      </c>
      <c r="C66" s="138" t="s">
        <v>91</v>
      </c>
      <c r="D66" s="138" t="s">
        <v>19</v>
      </c>
      <c r="E66" s="138" t="s">
        <v>20</v>
      </c>
      <c r="F66" s="138" t="s">
        <v>82</v>
      </c>
      <c r="G66" s="139" t="s">
        <v>21</v>
      </c>
      <c r="H66" s="138" t="s">
        <v>22</v>
      </c>
      <c r="I66" s="138" t="s">
        <v>83</v>
      </c>
      <c r="J66" s="138" t="s">
        <v>23</v>
      </c>
      <c r="K66" s="138" t="s">
        <v>24</v>
      </c>
      <c r="L66" s="138" t="s">
        <v>25</v>
      </c>
      <c r="M66" s="139" t="s">
        <v>26</v>
      </c>
      <c r="N66" s="138" t="s">
        <v>27</v>
      </c>
      <c r="O66" s="140" t="s">
        <v>28</v>
      </c>
    </row>
    <row r="67" spans="2:15" x14ac:dyDescent="0.2">
      <c r="B67" s="135"/>
      <c r="C67" s="133" t="s">
        <v>18</v>
      </c>
      <c r="D67" s="265">
        <v>29</v>
      </c>
      <c r="E67" s="265">
        <v>28.5</v>
      </c>
      <c r="F67" s="265">
        <v>25.2</v>
      </c>
      <c r="G67" s="265">
        <v>19.3</v>
      </c>
      <c r="H67" s="265">
        <v>15.75</v>
      </c>
      <c r="I67" s="265">
        <v>12.85</v>
      </c>
      <c r="J67" s="265">
        <v>10.199999999999999</v>
      </c>
      <c r="K67" s="265">
        <v>11</v>
      </c>
      <c r="L67" s="265">
        <v>13.5</v>
      </c>
      <c r="M67" s="265">
        <v>19.8</v>
      </c>
      <c r="N67" s="265">
        <v>19.399999999999999</v>
      </c>
      <c r="O67" s="266">
        <v>12.95</v>
      </c>
    </row>
    <row r="68" spans="2:15" x14ac:dyDescent="0.2">
      <c r="B68" s="135"/>
      <c r="C68" s="133" t="s">
        <v>29</v>
      </c>
      <c r="D68" s="265">
        <v>27.5</v>
      </c>
      <c r="E68" s="265">
        <v>27</v>
      </c>
      <c r="F68" s="265">
        <v>24.8</v>
      </c>
      <c r="G68" s="265">
        <v>18.100000000000001</v>
      </c>
      <c r="H68" s="265">
        <v>14.9</v>
      </c>
      <c r="I68" s="265">
        <v>12.2</v>
      </c>
      <c r="J68" s="265">
        <v>8.5</v>
      </c>
      <c r="K68" s="265">
        <v>10</v>
      </c>
      <c r="L68" s="265">
        <v>12.9</v>
      </c>
      <c r="M68" s="265">
        <v>18.899999999999999</v>
      </c>
      <c r="N68" s="265">
        <v>19</v>
      </c>
      <c r="O68" s="266">
        <v>12.1</v>
      </c>
    </row>
    <row r="69" spans="2:15" x14ac:dyDescent="0.2">
      <c r="B69" s="135"/>
      <c r="C69" s="133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2"/>
    </row>
    <row r="70" spans="2:15" x14ac:dyDescent="0.2">
      <c r="B70" s="135"/>
      <c r="C70" s="136" t="s">
        <v>88</v>
      </c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2"/>
    </row>
    <row r="71" spans="2:15" x14ac:dyDescent="0.2">
      <c r="B71" s="137" t="s">
        <v>89</v>
      </c>
      <c r="C71" s="138" t="s">
        <v>91</v>
      </c>
      <c r="D71" s="138" t="s">
        <v>19</v>
      </c>
      <c r="E71" s="138" t="s">
        <v>20</v>
      </c>
      <c r="F71" s="138" t="s">
        <v>82</v>
      </c>
      <c r="G71" s="139" t="s">
        <v>21</v>
      </c>
      <c r="H71" s="138" t="s">
        <v>22</v>
      </c>
      <c r="I71" s="138" t="s">
        <v>83</v>
      </c>
      <c r="J71" s="138" t="s">
        <v>23</v>
      </c>
      <c r="K71" s="138" t="s">
        <v>24</v>
      </c>
      <c r="L71" s="138" t="s">
        <v>25</v>
      </c>
      <c r="M71" s="139" t="s">
        <v>26</v>
      </c>
      <c r="N71" s="138" t="s">
        <v>27</v>
      </c>
      <c r="O71" s="140" t="s">
        <v>28</v>
      </c>
    </row>
    <row r="72" spans="2:15" x14ac:dyDescent="0.2">
      <c r="B72" s="135"/>
      <c r="C72" s="133" t="s">
        <v>18</v>
      </c>
      <c r="D72" s="265">
        <v>29</v>
      </c>
      <c r="E72" s="265">
        <v>28.5</v>
      </c>
      <c r="F72" s="265">
        <v>25.2</v>
      </c>
      <c r="G72" s="265">
        <v>19.3</v>
      </c>
      <c r="H72" s="265">
        <v>15.75</v>
      </c>
      <c r="I72" s="265">
        <v>12.85</v>
      </c>
      <c r="J72" s="265">
        <v>10.199999999999999</v>
      </c>
      <c r="K72" s="265">
        <v>11</v>
      </c>
      <c r="L72" s="265">
        <v>13.5</v>
      </c>
      <c r="M72" s="265">
        <v>19.8</v>
      </c>
      <c r="N72" s="265">
        <v>19.399999999999999</v>
      </c>
      <c r="O72" s="266">
        <v>12.95</v>
      </c>
    </row>
    <row r="73" spans="2:15" x14ac:dyDescent="0.2">
      <c r="B73" s="135"/>
      <c r="C73" s="133" t="s">
        <v>29</v>
      </c>
      <c r="D73" s="265">
        <v>27.5</v>
      </c>
      <c r="E73" s="265">
        <v>27</v>
      </c>
      <c r="F73" s="265">
        <v>24.8</v>
      </c>
      <c r="G73" s="265">
        <v>18.100000000000001</v>
      </c>
      <c r="H73" s="265">
        <v>14.9</v>
      </c>
      <c r="I73" s="265">
        <v>12.2</v>
      </c>
      <c r="J73" s="265">
        <v>8.5</v>
      </c>
      <c r="K73" s="265">
        <v>10</v>
      </c>
      <c r="L73" s="265">
        <v>12.9</v>
      </c>
      <c r="M73" s="265">
        <v>18.899999999999999</v>
      </c>
      <c r="N73" s="265">
        <v>19</v>
      </c>
      <c r="O73" s="266">
        <v>12.1</v>
      </c>
    </row>
    <row r="74" spans="2:15" ht="13.5" thickBot="1" x14ac:dyDescent="0.25">
      <c r="B74" s="87"/>
      <c r="C74" s="143"/>
      <c r="D74" s="143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49"/>
    </row>
    <row r="75" spans="2:15" ht="13.5" thickBot="1" x14ac:dyDescent="0.25">
      <c r="B75" s="3"/>
      <c r="C75" s="90"/>
      <c r="D75" s="90"/>
    </row>
    <row r="76" spans="2:15" x14ac:dyDescent="0.2">
      <c r="B76" s="32" t="s">
        <v>119</v>
      </c>
      <c r="C76" s="33" t="s">
        <v>14</v>
      </c>
      <c r="D76" s="107" t="s">
        <v>15</v>
      </c>
      <c r="E76" s="33" t="s">
        <v>105</v>
      </c>
      <c r="F76" s="78">
        <f>E29</f>
        <v>0.14455754362011336</v>
      </c>
      <c r="G76" s="81">
        <f>F76*C$99</f>
        <v>129690.3562493371</v>
      </c>
    </row>
    <row r="77" spans="2:15" x14ac:dyDescent="0.2">
      <c r="B77" s="27"/>
      <c r="C77" s="1" t="s">
        <v>32</v>
      </c>
      <c r="D77" s="23" t="s">
        <v>16</v>
      </c>
      <c r="E77" s="1" t="s">
        <v>105</v>
      </c>
      <c r="F77" s="79">
        <f>E30</f>
        <v>0.19922340056720395</v>
      </c>
      <c r="G77" s="74">
        <f>F77*C$99</f>
        <v>178734.04006271539</v>
      </c>
    </row>
    <row r="78" spans="2:15" ht="13.5" thickBot="1" x14ac:dyDescent="0.25">
      <c r="B78" s="27"/>
      <c r="C78" s="1" t="s">
        <v>37</v>
      </c>
      <c r="D78" s="23" t="s">
        <v>34</v>
      </c>
      <c r="E78" s="1" t="s">
        <v>105</v>
      </c>
      <c r="F78" s="79">
        <f>E31</f>
        <v>8.1825421980962158E-3</v>
      </c>
      <c r="G78" s="74">
        <f>F78*C$99</f>
        <v>7340.9992043381671</v>
      </c>
    </row>
    <row r="79" spans="2:15" ht="13.5" thickBot="1" x14ac:dyDescent="0.25">
      <c r="B79" s="28"/>
      <c r="C79" s="82" t="s">
        <v>103</v>
      </c>
      <c r="D79" s="59"/>
      <c r="E79" s="59"/>
      <c r="F79" s="83">
        <f>SUM(F76:F78)</f>
        <v>0.35196348638541353</v>
      </c>
      <c r="G79" s="84">
        <f>SUM(G76:G78)</f>
        <v>315765.39551639068</v>
      </c>
    </row>
    <row r="80" spans="2:15" ht="13.5" thickBot="1" x14ac:dyDescent="0.25">
      <c r="F80" s="2"/>
    </row>
    <row r="81" spans="2:7" x14ac:dyDescent="0.2">
      <c r="B81" s="32" t="s">
        <v>118</v>
      </c>
      <c r="C81" s="33"/>
      <c r="D81" s="35" t="s">
        <v>104</v>
      </c>
      <c r="E81" s="35" t="s">
        <v>99</v>
      </c>
      <c r="F81" s="35" t="s">
        <v>100</v>
      </c>
      <c r="G81" s="36" t="s">
        <v>101</v>
      </c>
    </row>
    <row r="82" spans="2:7" x14ac:dyDescent="0.2">
      <c r="B82" s="113" t="s">
        <v>9</v>
      </c>
      <c r="C82" s="1" t="s">
        <v>30</v>
      </c>
      <c r="D82" s="19">
        <f>E23</f>
        <v>1.72</v>
      </c>
      <c r="E82" s="10"/>
      <c r="F82" s="10"/>
      <c r="G82" s="37"/>
    </row>
    <row r="83" spans="2:7" x14ac:dyDescent="0.2">
      <c r="B83" s="113"/>
      <c r="C83" s="1" t="s">
        <v>31</v>
      </c>
      <c r="D83" s="31">
        <f>F23</f>
        <v>0.01</v>
      </c>
      <c r="E83" s="18">
        <f>D83*C$98</f>
        <v>558.97435897435901</v>
      </c>
      <c r="F83" s="18">
        <f>E83/3</f>
        <v>186.32478632478634</v>
      </c>
      <c r="G83" s="38">
        <f>F83*D82</f>
        <v>320.47863247863251</v>
      </c>
    </row>
    <row r="84" spans="2:7" x14ac:dyDescent="0.2">
      <c r="B84" s="113" t="s">
        <v>10</v>
      </c>
      <c r="C84" s="1" t="s">
        <v>30</v>
      </c>
      <c r="D84" s="19">
        <f>E24</f>
        <v>1.72</v>
      </c>
      <c r="E84" s="20"/>
      <c r="F84" s="20"/>
      <c r="G84" s="39"/>
    </row>
    <row r="85" spans="2:7" x14ac:dyDescent="0.2">
      <c r="B85" s="113"/>
      <c r="C85" s="1" t="s">
        <v>31</v>
      </c>
      <c r="D85" s="31">
        <f>F24</f>
        <v>0.15</v>
      </c>
      <c r="E85" s="18">
        <f>D85*C$98</f>
        <v>8384.6153846153848</v>
      </c>
      <c r="F85" s="18">
        <f>E85/5</f>
        <v>1676.9230769230769</v>
      </c>
      <c r="G85" s="38">
        <f>F85*D84</f>
        <v>2884.3076923076924</v>
      </c>
    </row>
    <row r="86" spans="2:7" x14ac:dyDescent="0.2">
      <c r="B86" s="113" t="s">
        <v>11</v>
      </c>
      <c r="C86" s="1" t="s">
        <v>30</v>
      </c>
      <c r="D86" s="19">
        <f>E25</f>
        <v>2.9</v>
      </c>
      <c r="E86" s="20"/>
      <c r="F86" s="20"/>
      <c r="G86" s="39"/>
    </row>
    <row r="87" spans="2:7" ht="13.5" thickBot="1" x14ac:dyDescent="0.25">
      <c r="B87" s="114"/>
      <c r="C87" s="34" t="s">
        <v>31</v>
      </c>
      <c r="D87" s="115">
        <f>F25</f>
        <v>0.84</v>
      </c>
      <c r="E87" s="116">
        <f>D87*C$98</f>
        <v>46953.846153846156</v>
      </c>
      <c r="F87" s="116">
        <f>E87/10</f>
        <v>4695.3846153846152</v>
      </c>
      <c r="G87" s="117">
        <f>F87*D86</f>
        <v>13616.615384615383</v>
      </c>
    </row>
    <row r="88" spans="2:7" ht="13.5" thickBot="1" x14ac:dyDescent="0.25">
      <c r="B88" s="114"/>
      <c r="C88" s="40" t="s">
        <v>103</v>
      </c>
      <c r="D88" s="108">
        <f>+D87+D85+D83</f>
        <v>1</v>
      </c>
      <c r="E88" s="111">
        <f>SUM(E83:E87)</f>
        <v>55897.435897435898</v>
      </c>
      <c r="F88" s="111">
        <f>SUM(F83:F87)</f>
        <v>6558.6324786324785</v>
      </c>
      <c r="G88" s="112">
        <f>SUM(G83:G87)</f>
        <v>16821.401709401707</v>
      </c>
    </row>
    <row r="89" spans="2:7" x14ac:dyDescent="0.2">
      <c r="C89" s="29"/>
    </row>
    <row r="90" spans="2:7" ht="13.5" thickBot="1" x14ac:dyDescent="0.25">
      <c r="C90" s="29"/>
    </row>
    <row r="91" spans="2:7" x14ac:dyDescent="0.2">
      <c r="B91" s="71" t="s">
        <v>145</v>
      </c>
      <c r="C91" s="72"/>
    </row>
    <row r="92" spans="2:7" x14ac:dyDescent="0.2">
      <c r="B92" s="122" t="s">
        <v>136</v>
      </c>
      <c r="C92" s="75"/>
    </row>
    <row r="93" spans="2:7" x14ac:dyDescent="0.2">
      <c r="B93" s="27" t="s">
        <v>36</v>
      </c>
      <c r="C93" s="80">
        <f>C8*C9/1000</f>
        <v>34.988999999999997</v>
      </c>
    </row>
    <row r="94" spans="2:7" x14ac:dyDescent="0.2">
      <c r="B94" s="27" t="s">
        <v>112</v>
      </c>
      <c r="C94" s="76">
        <f>C10*6</f>
        <v>234</v>
      </c>
    </row>
    <row r="95" spans="2:7" x14ac:dyDescent="0.2">
      <c r="B95" s="27" t="s">
        <v>114</v>
      </c>
      <c r="C95" s="76">
        <f>C12*C11*C10</f>
        <v>2106</v>
      </c>
    </row>
    <row r="96" spans="2:7" ht="13.5" thickBot="1" x14ac:dyDescent="0.25">
      <c r="B96" s="28" t="s">
        <v>111</v>
      </c>
      <c r="C96" s="77">
        <f>C13*C12*C11*C10</f>
        <v>16848</v>
      </c>
    </row>
    <row r="97" spans="1:9" x14ac:dyDescent="0.2">
      <c r="B97" s="123" t="s">
        <v>137</v>
      </c>
      <c r="C97" s="72"/>
    </row>
    <row r="98" spans="1:9" x14ac:dyDescent="0.2">
      <c r="B98" s="27" t="s">
        <v>110</v>
      </c>
      <c r="C98" s="73">
        <f>C8*1000/C10</f>
        <v>55897.435897435898</v>
      </c>
    </row>
    <row r="99" spans="1:9" x14ac:dyDescent="0.2">
      <c r="A99" s="1" t="s">
        <v>96</v>
      </c>
      <c r="B99" s="27" t="s">
        <v>115</v>
      </c>
      <c r="C99" s="74">
        <f>C98*C9</f>
        <v>897153.84615384624</v>
      </c>
    </row>
    <row r="100" spans="1:9" x14ac:dyDescent="0.2">
      <c r="B100" s="27" t="s">
        <v>95</v>
      </c>
      <c r="C100" s="73">
        <f>C13*C12*C11</f>
        <v>432</v>
      </c>
    </row>
    <row r="101" spans="1:9" x14ac:dyDescent="0.2">
      <c r="B101" s="27" t="s">
        <v>93</v>
      </c>
      <c r="C101" s="73">
        <f>C12*C11</f>
        <v>54</v>
      </c>
    </row>
    <row r="102" spans="1:9" x14ac:dyDescent="0.2">
      <c r="B102" s="27" t="s">
        <v>138</v>
      </c>
      <c r="C102" s="73">
        <f>D126</f>
        <v>974.48234743391799</v>
      </c>
    </row>
    <row r="103" spans="1:9" x14ac:dyDescent="0.2">
      <c r="A103" s="1" t="s">
        <v>85</v>
      </c>
      <c r="B103" s="27" t="s">
        <v>139</v>
      </c>
      <c r="C103" s="74">
        <f>E126</f>
        <v>7795.858779471344</v>
      </c>
    </row>
    <row r="104" spans="1:9" x14ac:dyDescent="0.2">
      <c r="B104" s="27" t="s">
        <v>140</v>
      </c>
      <c r="C104" s="74">
        <f>F126</f>
        <v>70162.72901524209</v>
      </c>
    </row>
    <row r="105" spans="1:9" x14ac:dyDescent="0.2">
      <c r="B105" s="27" t="s">
        <v>141</v>
      </c>
      <c r="C105" s="80">
        <f>G126</f>
        <v>7.5312287108103897</v>
      </c>
    </row>
    <row r="106" spans="1:9" ht="13.5" thickBot="1" x14ac:dyDescent="0.25">
      <c r="B106" s="28" t="s">
        <v>142</v>
      </c>
      <c r="C106" s="105">
        <f>C126</f>
        <v>420976.37409145257</v>
      </c>
    </row>
    <row r="108" spans="1:9" ht="13.5" thickBot="1" x14ac:dyDescent="0.25">
      <c r="A108" s="4"/>
      <c r="B108" s="118" t="s">
        <v>144</v>
      </c>
      <c r="C108" s="92"/>
    </row>
    <row r="109" spans="1:9" x14ac:dyDescent="0.2">
      <c r="A109" s="93"/>
      <c r="B109" s="124" t="s">
        <v>115</v>
      </c>
      <c r="C109" s="94"/>
      <c r="D109" s="328" t="s">
        <v>106</v>
      </c>
      <c r="E109" s="96" t="s">
        <v>109</v>
      </c>
      <c r="F109" s="328" t="s">
        <v>107</v>
      </c>
      <c r="G109" s="109" t="s">
        <v>108</v>
      </c>
    </row>
    <row r="110" spans="1:9" x14ac:dyDescent="0.2">
      <c r="A110" s="101"/>
      <c r="B110" s="124" t="s">
        <v>192</v>
      </c>
      <c r="C110" s="211">
        <f>C8*1000/C10</f>
        <v>55897.435897435898</v>
      </c>
      <c r="D110" s="329">
        <f>C110/C100</f>
        <v>129.39221272554607</v>
      </c>
      <c r="E110" s="219">
        <f>C110/C101</f>
        <v>1035.1377018043686</v>
      </c>
      <c r="F110" s="340">
        <f>C110/C11</f>
        <v>9316.2393162393164</v>
      </c>
      <c r="G110" s="213"/>
      <c r="I110" s="14">
        <f>D110*16</f>
        <v>2070.2754036087372</v>
      </c>
    </row>
    <row r="111" spans="1:9" ht="13.5" thickBot="1" x14ac:dyDescent="0.25">
      <c r="A111" s="101"/>
      <c r="B111" s="3" t="s">
        <v>17</v>
      </c>
      <c r="C111" s="214">
        <f>C9</f>
        <v>16.05</v>
      </c>
      <c r="D111" s="330">
        <f>C111</f>
        <v>16.05</v>
      </c>
      <c r="E111" s="324">
        <f>D111</f>
        <v>16.05</v>
      </c>
      <c r="F111" s="330">
        <f>E111</f>
        <v>16.05</v>
      </c>
      <c r="G111" s="218" t="s">
        <v>193</v>
      </c>
    </row>
    <row r="112" spans="1:9" ht="13.5" thickBot="1" x14ac:dyDescent="0.25">
      <c r="A112" s="97" t="s">
        <v>40</v>
      </c>
      <c r="B112" s="341" t="s">
        <v>132</v>
      </c>
      <c r="C112" s="342">
        <f>C110*C111</f>
        <v>897153.84615384624</v>
      </c>
      <c r="D112" s="343">
        <f>D110*D111</f>
        <v>2076.7450142450148</v>
      </c>
      <c r="E112" s="342">
        <f>E110*E111</f>
        <v>16613.960113960118</v>
      </c>
      <c r="F112" s="343">
        <f>F110*F111</f>
        <v>149525.64102564103</v>
      </c>
      <c r="G112" s="309">
        <f>$C112/C$98</f>
        <v>16.05</v>
      </c>
    </row>
    <row r="113" spans="1:8" x14ac:dyDescent="0.2">
      <c r="A113" s="97"/>
      <c r="B113" s="3"/>
      <c r="C113" s="7"/>
      <c r="D113" s="331"/>
      <c r="F113" s="331"/>
      <c r="G113" s="45"/>
    </row>
    <row r="114" spans="1:8" x14ac:dyDescent="0.2">
      <c r="A114" s="97"/>
      <c r="B114" s="124" t="s">
        <v>12</v>
      </c>
      <c r="C114" s="7"/>
      <c r="D114" s="332" t="str">
        <f>D$109</f>
        <v>/shot</v>
      </c>
      <c r="E114" s="24" t="str">
        <f>$E$109</f>
        <v>/night</v>
      </c>
      <c r="F114" s="332" t="str">
        <f>F$109</f>
        <v>/trip</v>
      </c>
      <c r="G114" s="110" t="str">
        <f>G$109</f>
        <v>/kg</v>
      </c>
    </row>
    <row r="115" spans="1:8" x14ac:dyDescent="0.2">
      <c r="A115" s="97"/>
      <c r="B115" s="3" t="s">
        <v>41</v>
      </c>
      <c r="C115" s="70">
        <f t="shared" ref="C115:C120" si="3">C16</f>
        <v>77161.944444444438</v>
      </c>
      <c r="D115" s="333">
        <f t="shared" ref="D115:D124" si="4">$C115/C$100</f>
        <v>178.61561213991769</v>
      </c>
      <c r="E115" s="98">
        <f t="shared" ref="E115:E124" si="5">$C115/C$101</f>
        <v>1428.9248971193415</v>
      </c>
      <c r="F115" s="333">
        <f t="shared" ref="F115:F124" si="6">$C115/C$11</f>
        <v>12860.324074074073</v>
      </c>
      <c r="G115" s="80">
        <f t="shared" ref="G115:G119" si="7">$C115/C$98</f>
        <v>1.380420107033639</v>
      </c>
    </row>
    <row r="116" spans="1:8" x14ac:dyDescent="0.2">
      <c r="A116" s="97"/>
      <c r="B116" s="3" t="s">
        <v>84</v>
      </c>
      <c r="C116" s="70">
        <f t="shared" si="3"/>
        <v>49361.477124183002</v>
      </c>
      <c r="D116" s="333">
        <f t="shared" si="4"/>
        <v>114.26267852820139</v>
      </c>
      <c r="E116" s="98">
        <f t="shared" si="5"/>
        <v>914.10142822561113</v>
      </c>
      <c r="F116" s="333">
        <f t="shared" si="6"/>
        <v>8226.912854030501</v>
      </c>
      <c r="G116" s="80">
        <f t="shared" si="7"/>
        <v>0.88307229717575098</v>
      </c>
    </row>
    <row r="117" spans="1:8" x14ac:dyDescent="0.2">
      <c r="A117" s="97"/>
      <c r="B117" s="8" t="s">
        <v>42</v>
      </c>
      <c r="C117" s="70">
        <f t="shared" si="3"/>
        <v>6680.6470588235297</v>
      </c>
      <c r="D117" s="333">
        <f t="shared" si="4"/>
        <v>15.464460784313726</v>
      </c>
      <c r="E117" s="98">
        <f t="shared" si="5"/>
        <v>123.71568627450981</v>
      </c>
      <c r="F117" s="333">
        <f t="shared" si="6"/>
        <v>1113.4411764705883</v>
      </c>
      <c r="G117" s="80">
        <f t="shared" si="7"/>
        <v>0.11951616297895305</v>
      </c>
    </row>
    <row r="118" spans="1:8" x14ac:dyDescent="0.2">
      <c r="A118" s="97"/>
      <c r="B118" s="3" t="s">
        <v>43</v>
      </c>
      <c r="C118" s="70">
        <f t="shared" si="3"/>
        <v>9534.1944444444453</v>
      </c>
      <c r="D118" s="333">
        <f t="shared" si="4"/>
        <v>22.069894547325106</v>
      </c>
      <c r="E118" s="98">
        <f t="shared" si="5"/>
        <v>176.55915637860085</v>
      </c>
      <c r="F118" s="333">
        <f t="shared" si="6"/>
        <v>1589.0324074074076</v>
      </c>
      <c r="G118" s="80">
        <f t="shared" si="7"/>
        <v>0.17056586391437309</v>
      </c>
    </row>
    <row r="119" spans="1:8" x14ac:dyDescent="0.2">
      <c r="A119" s="97"/>
      <c r="B119" s="3" t="s">
        <v>46</v>
      </c>
      <c r="C119" s="70">
        <f t="shared" si="3"/>
        <v>852.41176470588243</v>
      </c>
      <c r="D119" s="333">
        <f t="shared" si="4"/>
        <v>1.9731753812636168</v>
      </c>
      <c r="E119" s="98">
        <f t="shared" si="5"/>
        <v>15.785403050108934</v>
      </c>
      <c r="F119" s="333">
        <f t="shared" si="6"/>
        <v>142.06862745098042</v>
      </c>
      <c r="G119" s="80">
        <f t="shared" si="7"/>
        <v>1.5249568267674042E-2</v>
      </c>
    </row>
    <row r="120" spans="1:8" x14ac:dyDescent="0.2">
      <c r="A120" s="97"/>
      <c r="B120" s="3" t="s">
        <v>102</v>
      </c>
      <c r="C120" s="70">
        <f t="shared" si="3"/>
        <v>0</v>
      </c>
      <c r="D120" s="333">
        <f t="shared" si="4"/>
        <v>0</v>
      </c>
      <c r="E120" s="98">
        <f t="shared" si="5"/>
        <v>0</v>
      </c>
      <c r="F120" s="333">
        <f t="shared" si="6"/>
        <v>0</v>
      </c>
      <c r="G120" s="80">
        <f t="shared" ref="G120:G124" si="8">$C120/C$98</f>
        <v>0</v>
      </c>
      <c r="H120" s="14" t="s">
        <v>85</v>
      </c>
    </row>
    <row r="121" spans="1:8" x14ac:dyDescent="0.2">
      <c r="A121" s="97"/>
      <c r="B121" s="3" t="s">
        <v>8</v>
      </c>
      <c r="C121" s="98">
        <f>G88</f>
        <v>16821.401709401707</v>
      </c>
      <c r="D121" s="333">
        <f t="shared" si="4"/>
        <v>38.938429882874324</v>
      </c>
      <c r="E121" s="98">
        <f t="shared" si="5"/>
        <v>311.50743906299459</v>
      </c>
      <c r="F121" s="333">
        <f t="shared" si="6"/>
        <v>2803.566951566951</v>
      </c>
      <c r="G121" s="80">
        <f t="shared" si="8"/>
        <v>0.30093333333333327</v>
      </c>
    </row>
    <row r="122" spans="1:8" x14ac:dyDescent="0.2">
      <c r="A122" s="97"/>
      <c r="B122" s="3" t="s">
        <v>44</v>
      </c>
      <c r="C122" s="98">
        <f>G79-G78</f>
        <v>308424.3963120525</v>
      </c>
      <c r="D122" s="333">
        <f t="shared" si="4"/>
        <v>713.94536183345485</v>
      </c>
      <c r="E122" s="98">
        <f t="shared" si="5"/>
        <v>5711.5628946676388</v>
      </c>
      <c r="F122" s="333">
        <f t="shared" si="6"/>
        <v>51404.066052008748</v>
      </c>
      <c r="G122" s="80">
        <f t="shared" si="8"/>
        <v>5.5176841542064441</v>
      </c>
    </row>
    <row r="123" spans="1:8" x14ac:dyDescent="0.2">
      <c r="A123" s="97" t="s">
        <v>45</v>
      </c>
      <c r="B123" s="8" t="s">
        <v>87</v>
      </c>
      <c r="C123" s="98">
        <f>G78</f>
        <v>7340.9992043381671</v>
      </c>
      <c r="D123" s="333">
        <f t="shared" si="4"/>
        <v>16.993053713745756</v>
      </c>
      <c r="E123" s="98">
        <f t="shared" si="5"/>
        <v>135.94442970996604</v>
      </c>
      <c r="F123" s="333">
        <f t="shared" si="6"/>
        <v>1223.4998673896946</v>
      </c>
      <c r="G123" s="80">
        <f t="shared" si="8"/>
        <v>0.13132980227944427</v>
      </c>
    </row>
    <row r="124" spans="1:8" s="10" customFormat="1" x14ac:dyDescent="0.2">
      <c r="A124" s="99" t="s">
        <v>47</v>
      </c>
      <c r="B124" s="125" t="s">
        <v>48</v>
      </c>
      <c r="C124" s="327">
        <f>SUM(C115:C123)</f>
        <v>476177.47206239367</v>
      </c>
      <c r="D124" s="334">
        <f t="shared" si="4"/>
        <v>1102.2626668110966</v>
      </c>
      <c r="E124" s="338">
        <f t="shared" si="5"/>
        <v>8818.1013344887724</v>
      </c>
      <c r="F124" s="334">
        <f t="shared" si="6"/>
        <v>79362.912010398941</v>
      </c>
      <c r="G124" s="339">
        <f t="shared" si="8"/>
        <v>8.5187712891896119</v>
      </c>
      <c r="H124" s="91"/>
    </row>
    <row r="125" spans="1:8" x14ac:dyDescent="0.2">
      <c r="A125" s="97"/>
      <c r="B125" s="5"/>
      <c r="C125" s="89"/>
      <c r="D125" s="335" t="str">
        <f>D$109</f>
        <v>/shot</v>
      </c>
      <c r="E125" s="325" t="str">
        <f>$E$109</f>
        <v>/night</v>
      </c>
      <c r="F125" s="335" t="str">
        <f>F$109</f>
        <v>/trip</v>
      </c>
      <c r="G125" s="326" t="str">
        <f>G$109</f>
        <v>/kg</v>
      </c>
    </row>
    <row r="126" spans="1:8" s="10" customFormat="1" x14ac:dyDescent="0.2">
      <c r="A126" s="100"/>
      <c r="B126" s="125" t="s">
        <v>62</v>
      </c>
      <c r="C126" s="327">
        <f>C112-C124</f>
        <v>420976.37409145257</v>
      </c>
      <c r="D126" s="334">
        <f>$C126/C$100</f>
        <v>974.48234743391799</v>
      </c>
      <c r="E126" s="338">
        <f>$C126/C$101</f>
        <v>7795.858779471344</v>
      </c>
      <c r="F126" s="334">
        <f>$C126/C$11</f>
        <v>70162.72901524209</v>
      </c>
      <c r="G126" s="339">
        <f>$C126/C$98</f>
        <v>7.5312287108103897</v>
      </c>
      <c r="H126" s="91"/>
    </row>
    <row r="127" spans="1:8" x14ac:dyDescent="0.2">
      <c r="A127" s="97"/>
      <c r="B127" s="3"/>
      <c r="C127" s="7"/>
      <c r="D127" s="331"/>
      <c r="F127" s="331"/>
      <c r="G127" s="45"/>
    </row>
    <row r="128" spans="1:8" x14ac:dyDescent="0.2">
      <c r="A128" s="97"/>
      <c r="B128" s="124" t="s">
        <v>13</v>
      </c>
      <c r="C128" s="7"/>
      <c r="D128" s="335" t="str">
        <f>D$109</f>
        <v>/shot</v>
      </c>
      <c r="E128" s="325" t="str">
        <f>$E$109</f>
        <v>/night</v>
      </c>
      <c r="F128" s="335" t="str">
        <f>F$109</f>
        <v>/trip</v>
      </c>
      <c r="G128" s="326" t="str">
        <f>G$109</f>
        <v>/kg</v>
      </c>
    </row>
    <row r="129" spans="1:8" x14ac:dyDescent="0.2">
      <c r="A129" s="97"/>
      <c r="B129" s="3" t="s">
        <v>69</v>
      </c>
      <c r="C129" s="70">
        <f t="shared" ref="C129:C139" si="9">C41</f>
        <v>94035.012958994179</v>
      </c>
      <c r="D129" s="333">
        <f t="shared" ref="D129:D151" si="10">$C129/C$100</f>
        <v>217.67364110878282</v>
      </c>
      <c r="E129" s="98">
        <f t="shared" ref="E129:E141" si="11">$C129/C$101</f>
        <v>1741.3891288702625</v>
      </c>
      <c r="F129" s="333">
        <f t="shared" ref="F129:F141" si="12">$C129/C$11</f>
        <v>15672.502159832364</v>
      </c>
      <c r="G129" s="80">
        <f t="shared" ref="G129:G141" si="13">$C129/C$98</f>
        <v>1.6822777547709968</v>
      </c>
    </row>
    <row r="130" spans="1:8" x14ac:dyDescent="0.2">
      <c r="A130" s="97"/>
      <c r="B130" s="3" t="s">
        <v>49</v>
      </c>
      <c r="C130" s="70">
        <f t="shared" si="9"/>
        <v>24676.823529411766</v>
      </c>
      <c r="D130" s="333">
        <f t="shared" si="10"/>
        <v>57.122276688453162</v>
      </c>
      <c r="E130" s="98">
        <f t="shared" si="11"/>
        <v>456.9782135076253</v>
      </c>
      <c r="F130" s="333">
        <f t="shared" si="12"/>
        <v>4112.8039215686276</v>
      </c>
      <c r="G130" s="80">
        <f t="shared" si="13"/>
        <v>0.44146610901241229</v>
      </c>
    </row>
    <row r="131" spans="1:8" x14ac:dyDescent="0.2">
      <c r="A131" s="97"/>
      <c r="B131" s="3" t="s">
        <v>50</v>
      </c>
      <c r="C131" s="70">
        <f t="shared" si="9"/>
        <v>18235</v>
      </c>
      <c r="D131" s="333">
        <f t="shared" si="10"/>
        <v>42.210648148148145</v>
      </c>
      <c r="E131" s="98">
        <f t="shared" si="11"/>
        <v>337.68518518518516</v>
      </c>
      <c r="F131" s="333">
        <f t="shared" si="12"/>
        <v>3039.1666666666665</v>
      </c>
      <c r="G131" s="80">
        <f t="shared" si="13"/>
        <v>0.3262224770642202</v>
      </c>
    </row>
    <row r="132" spans="1:8" x14ac:dyDescent="0.2">
      <c r="A132" s="97" t="s">
        <v>51</v>
      </c>
      <c r="B132" s="3" t="s">
        <v>52</v>
      </c>
      <c r="C132" s="70">
        <f t="shared" si="9"/>
        <v>7376.333333333333</v>
      </c>
      <c r="D132" s="333">
        <f t="shared" si="10"/>
        <v>17.074845679012345</v>
      </c>
      <c r="E132" s="98">
        <f t="shared" si="11"/>
        <v>136.59876543209876</v>
      </c>
      <c r="F132" s="333">
        <f t="shared" si="12"/>
        <v>1229.3888888888889</v>
      </c>
      <c r="G132" s="80">
        <f t="shared" si="13"/>
        <v>0.13196192660550457</v>
      </c>
    </row>
    <row r="133" spans="1:8" x14ac:dyDescent="0.2">
      <c r="A133" s="97" t="s">
        <v>53</v>
      </c>
      <c r="B133" s="3" t="s">
        <v>87</v>
      </c>
      <c r="C133" s="70">
        <f t="shared" si="9"/>
        <v>9740.5539181286567</v>
      </c>
      <c r="D133" s="333">
        <f t="shared" si="10"/>
        <v>22.547578514186707</v>
      </c>
      <c r="E133" s="98">
        <f t="shared" si="11"/>
        <v>180.38062811349366</v>
      </c>
      <c r="F133" s="333">
        <f t="shared" si="12"/>
        <v>1623.4256530214427</v>
      </c>
      <c r="G133" s="80">
        <f t="shared" si="13"/>
        <v>0.17425761596652184</v>
      </c>
    </row>
    <row r="134" spans="1:8" x14ac:dyDescent="0.2">
      <c r="A134" s="101"/>
      <c r="B134" s="3" t="s">
        <v>54</v>
      </c>
      <c r="C134" s="70">
        <f t="shared" si="9"/>
        <v>7231.666666666667</v>
      </c>
      <c r="D134" s="333">
        <f t="shared" si="10"/>
        <v>16.739969135802468</v>
      </c>
      <c r="E134" s="98">
        <f t="shared" si="11"/>
        <v>133.91975308641975</v>
      </c>
      <c r="F134" s="333">
        <f t="shared" si="12"/>
        <v>1205.2777777777778</v>
      </c>
      <c r="G134" s="80">
        <f t="shared" si="13"/>
        <v>0.12937385321100917</v>
      </c>
    </row>
    <row r="135" spans="1:8" x14ac:dyDescent="0.2">
      <c r="A135" s="101"/>
      <c r="B135" s="3" t="s">
        <v>55</v>
      </c>
      <c r="C135" s="70">
        <f t="shared" si="9"/>
        <v>3139.7222222222222</v>
      </c>
      <c r="D135" s="333">
        <f t="shared" si="10"/>
        <v>7.2678755144032925</v>
      </c>
      <c r="E135" s="98">
        <f t="shared" si="11"/>
        <v>58.14300411522634</v>
      </c>
      <c r="F135" s="333">
        <f t="shared" si="12"/>
        <v>523.28703703703707</v>
      </c>
      <c r="G135" s="80">
        <f t="shared" si="13"/>
        <v>5.6169342507645256E-2</v>
      </c>
    </row>
    <row r="136" spans="1:8" x14ac:dyDescent="0.2">
      <c r="A136" s="101"/>
      <c r="B136" s="3" t="s">
        <v>84</v>
      </c>
      <c r="C136" s="70">
        <f t="shared" si="9"/>
        <v>49361.477124183002</v>
      </c>
      <c r="D136" s="333">
        <f t="shared" si="10"/>
        <v>114.26267852820139</v>
      </c>
      <c r="E136" s="98">
        <f t="shared" si="11"/>
        <v>914.10142822561113</v>
      </c>
      <c r="F136" s="333">
        <f t="shared" si="12"/>
        <v>8226.912854030501</v>
      </c>
      <c r="G136" s="80">
        <f t="shared" si="13"/>
        <v>0.88307229717575098</v>
      </c>
    </row>
    <row r="137" spans="1:8" x14ac:dyDescent="0.2">
      <c r="A137" s="101"/>
      <c r="B137" s="3" t="s">
        <v>56</v>
      </c>
      <c r="C137" s="70">
        <f t="shared" si="9"/>
        <v>17502.029411764706</v>
      </c>
      <c r="D137" s="333">
        <f t="shared" si="10"/>
        <v>40.513956971677558</v>
      </c>
      <c r="E137" s="98">
        <f t="shared" si="11"/>
        <v>324.11165577342047</v>
      </c>
      <c r="F137" s="333">
        <f t="shared" si="12"/>
        <v>2917.0049019607845</v>
      </c>
      <c r="G137" s="80">
        <f t="shared" si="13"/>
        <v>0.31310970048569886</v>
      </c>
    </row>
    <row r="138" spans="1:8" x14ac:dyDescent="0.2">
      <c r="A138" s="101"/>
      <c r="B138" s="3" t="s">
        <v>57</v>
      </c>
      <c r="C138" s="70">
        <f t="shared" si="9"/>
        <v>853.61111111111109</v>
      </c>
      <c r="D138" s="333">
        <f t="shared" si="10"/>
        <v>1.9759516460905349</v>
      </c>
      <c r="E138" s="98">
        <f t="shared" si="11"/>
        <v>15.807613168724279</v>
      </c>
      <c r="F138" s="333">
        <f t="shared" si="12"/>
        <v>142.2685185185185</v>
      </c>
      <c r="G138" s="80">
        <f t="shared" si="13"/>
        <v>1.5271024464831804E-2</v>
      </c>
    </row>
    <row r="139" spans="1:8" x14ac:dyDescent="0.2">
      <c r="A139" s="101"/>
      <c r="B139" s="3" t="s">
        <v>58</v>
      </c>
      <c r="C139" s="70">
        <f t="shared" si="9"/>
        <v>17036.016339869282</v>
      </c>
      <c r="D139" s="333">
        <f t="shared" si="10"/>
        <v>39.435223008956669</v>
      </c>
      <c r="E139" s="98">
        <f t="shared" si="11"/>
        <v>315.48178407165335</v>
      </c>
      <c r="F139" s="333">
        <f t="shared" si="12"/>
        <v>2839.3360566448805</v>
      </c>
      <c r="G139" s="80">
        <f t="shared" si="13"/>
        <v>0.30477276938298259</v>
      </c>
    </row>
    <row r="140" spans="1:8" ht="13.5" thickBot="1" x14ac:dyDescent="0.25">
      <c r="A140" s="101"/>
      <c r="B140" s="3" t="s">
        <v>102</v>
      </c>
      <c r="C140" s="70"/>
      <c r="D140" s="333">
        <f t="shared" si="10"/>
        <v>0</v>
      </c>
      <c r="E140" s="98">
        <f t="shared" si="11"/>
        <v>0</v>
      </c>
      <c r="F140" s="333">
        <f t="shared" si="12"/>
        <v>0</v>
      </c>
      <c r="G140" s="80">
        <f t="shared" si="13"/>
        <v>0</v>
      </c>
    </row>
    <row r="141" spans="1:8" s="10" customFormat="1" ht="13.5" thickBot="1" x14ac:dyDescent="0.25">
      <c r="A141" s="344" t="s">
        <v>59</v>
      </c>
      <c r="B141" s="205" t="s">
        <v>60</v>
      </c>
      <c r="C141" s="345">
        <f>SUM(C129:C140)</f>
        <v>249188.24661568494</v>
      </c>
      <c r="D141" s="346">
        <f t="shared" si="10"/>
        <v>576.82464494371516</v>
      </c>
      <c r="E141" s="347">
        <f t="shared" si="11"/>
        <v>4614.5971595497213</v>
      </c>
      <c r="F141" s="346">
        <f t="shared" si="12"/>
        <v>41531.374435947488</v>
      </c>
      <c r="G141" s="309">
        <f t="shared" si="13"/>
        <v>4.4579548706475745</v>
      </c>
      <c r="H141" s="91"/>
    </row>
    <row r="142" spans="1:8" ht="13.5" thickBot="1" x14ac:dyDescent="0.25">
      <c r="A142" s="97"/>
      <c r="B142" s="3"/>
      <c r="C142" s="120"/>
      <c r="D142" s="336"/>
      <c r="E142" s="17"/>
      <c r="F142" s="336"/>
      <c r="G142" s="121"/>
    </row>
    <row r="143" spans="1:8" ht="13.5" thickBot="1" x14ac:dyDescent="0.25">
      <c r="A143" s="348" t="s">
        <v>61</v>
      </c>
      <c r="B143" s="349" t="s">
        <v>86</v>
      </c>
      <c r="C143" s="342">
        <f>C124+C141-C149</f>
        <v>631330.70571908448</v>
      </c>
      <c r="D143" s="346">
        <f t="shared" si="10"/>
        <v>1461.4136706460288</v>
      </c>
      <c r="E143" s="347">
        <f>$C143/C$101</f>
        <v>11691.30936516823</v>
      </c>
      <c r="F143" s="346">
        <f>$C143/C$11</f>
        <v>105221.78428651408</v>
      </c>
      <c r="G143" s="309">
        <f t="shared" ref="G143" si="14">$C143/C$98</f>
        <v>11.29444840506619</v>
      </c>
    </row>
    <row r="144" spans="1:8" x14ac:dyDescent="0.2">
      <c r="A144" s="101"/>
      <c r="B144" s="3"/>
      <c r="C144" s="7"/>
      <c r="D144" s="331"/>
      <c r="F144" s="331"/>
      <c r="G144" s="45"/>
    </row>
    <row r="145" spans="1:7" x14ac:dyDescent="0.2">
      <c r="A145" s="101"/>
      <c r="B145" s="3"/>
      <c r="C145" s="6"/>
      <c r="D145" s="332" t="str">
        <f>D$109</f>
        <v>/shot</v>
      </c>
      <c r="E145" s="24" t="str">
        <f>$E$109</f>
        <v>/night</v>
      </c>
      <c r="F145" s="332" t="str">
        <f>F$109</f>
        <v>/trip</v>
      </c>
      <c r="G145" s="110" t="str">
        <f>G$109</f>
        <v>/kg</v>
      </c>
    </row>
    <row r="146" spans="1:7" x14ac:dyDescent="0.2">
      <c r="A146" s="97" t="s">
        <v>63</v>
      </c>
      <c r="B146" s="124" t="s">
        <v>64</v>
      </c>
      <c r="C146" s="11">
        <f>C133+C123</f>
        <v>17081.553122466823</v>
      </c>
      <c r="D146" s="333">
        <f t="shared" si="10"/>
        <v>39.540632227932463</v>
      </c>
      <c r="E146" s="98">
        <f t="shared" ref="E146:E151" si="15">$C146/C$101</f>
        <v>316.3250578234597</v>
      </c>
      <c r="F146" s="333">
        <f t="shared" ref="F146:F151" si="16">$C146/C$11</f>
        <v>2846.9255204111373</v>
      </c>
      <c r="G146" s="80">
        <f t="shared" ref="G146" si="17">$C146/C$98</f>
        <v>0.30558741824596608</v>
      </c>
    </row>
    <row r="147" spans="1:7" x14ac:dyDescent="0.2">
      <c r="A147" s="101"/>
      <c r="B147" s="124" t="s">
        <v>65</v>
      </c>
      <c r="C147" s="11">
        <f>C112-C143+C146</f>
        <v>282904.6935572286</v>
      </c>
      <c r="D147" s="333">
        <f t="shared" si="10"/>
        <v>654.87197582691806</v>
      </c>
      <c r="E147" s="98">
        <f t="shared" si="15"/>
        <v>5238.9758066153445</v>
      </c>
      <c r="F147" s="333">
        <f t="shared" si="16"/>
        <v>47150.7822595381</v>
      </c>
      <c r="G147" s="80">
        <f t="shared" ref="G147" si="18">$C147/C$98</f>
        <v>5.061139013179778</v>
      </c>
    </row>
    <row r="148" spans="1:7" x14ac:dyDescent="0.2">
      <c r="A148" s="97" t="s">
        <v>66</v>
      </c>
      <c r="B148" s="124" t="s">
        <v>67</v>
      </c>
      <c r="C148" s="11">
        <v>268746.07474914961</v>
      </c>
      <c r="D148" s="333">
        <f t="shared" si="10"/>
        <v>622.09739525266116</v>
      </c>
      <c r="E148" s="98">
        <f t="shared" si="15"/>
        <v>4976.7791620212893</v>
      </c>
      <c r="F148" s="333">
        <f t="shared" si="16"/>
        <v>44791.012458191602</v>
      </c>
      <c r="G148" s="80">
        <f t="shared" ref="G148" si="19">$C148/C$98</f>
        <v>4.8078426216590984</v>
      </c>
    </row>
    <row r="149" spans="1:7" x14ac:dyDescent="0.2">
      <c r="A149" s="97" t="s">
        <v>68</v>
      </c>
      <c r="B149" s="124" t="s">
        <v>69</v>
      </c>
      <c r="C149" s="11">
        <f>C129</f>
        <v>94035.012958994179</v>
      </c>
      <c r="D149" s="333">
        <f t="shared" si="10"/>
        <v>217.67364110878282</v>
      </c>
      <c r="E149" s="98">
        <f t="shared" si="15"/>
        <v>1741.3891288702625</v>
      </c>
      <c r="F149" s="333">
        <f t="shared" si="16"/>
        <v>15672.502159832364</v>
      </c>
      <c r="G149" s="80">
        <f t="shared" ref="G149" si="20">$C149/C$98</f>
        <v>1.6822777547709968</v>
      </c>
    </row>
    <row r="150" spans="1:7" x14ac:dyDescent="0.2">
      <c r="A150" s="97" t="s">
        <v>70</v>
      </c>
      <c r="B150" s="124" t="s">
        <v>71</v>
      </c>
      <c r="C150" s="11">
        <f>C148-C149</f>
        <v>174711.06179015542</v>
      </c>
      <c r="D150" s="333">
        <f t="shared" si="10"/>
        <v>404.42375414387828</v>
      </c>
      <c r="E150" s="98">
        <f t="shared" si="15"/>
        <v>3235.3900331510263</v>
      </c>
      <c r="F150" s="333">
        <f t="shared" si="16"/>
        <v>29118.510298359237</v>
      </c>
      <c r="G150" s="80">
        <f t="shared" ref="G150" si="21">$C150/C$98</f>
        <v>3.1255648668881015</v>
      </c>
    </row>
    <row r="151" spans="1:7" x14ac:dyDescent="0.2">
      <c r="A151" s="97" t="s">
        <v>72</v>
      </c>
      <c r="B151" s="124" t="s">
        <v>73</v>
      </c>
      <c r="C151" s="11">
        <f>C150+C132</f>
        <v>182087.39512348876</v>
      </c>
      <c r="D151" s="333">
        <f t="shared" si="10"/>
        <v>421.49859982289064</v>
      </c>
      <c r="E151" s="98">
        <f t="shared" si="15"/>
        <v>3371.9887985831251</v>
      </c>
      <c r="F151" s="333">
        <f t="shared" si="16"/>
        <v>30347.899187248127</v>
      </c>
      <c r="G151" s="80">
        <f t="shared" ref="G151" si="22">$C151/C$98</f>
        <v>3.2575267934936063</v>
      </c>
    </row>
    <row r="152" spans="1:7" x14ac:dyDescent="0.2">
      <c r="A152" s="101"/>
      <c r="B152" s="124" t="s">
        <v>74</v>
      </c>
      <c r="C152" s="7"/>
      <c r="D152" s="331"/>
      <c r="F152" s="331"/>
      <c r="G152" s="45"/>
    </row>
    <row r="153" spans="1:7" ht="13.5" thickBot="1" x14ac:dyDescent="0.25">
      <c r="A153" s="97" t="s">
        <v>75</v>
      </c>
      <c r="B153" s="3" t="s">
        <v>76</v>
      </c>
      <c r="C153" s="70">
        <f>C55</f>
        <v>1465433.4470031608</v>
      </c>
      <c r="D153" s="337">
        <f t="shared" ref="D153" si="23">$C153/C$100</f>
        <v>3392.2070532480575</v>
      </c>
      <c r="E153" s="98">
        <f>$C153/C$101</f>
        <v>27137.65642598446</v>
      </c>
      <c r="F153" s="337">
        <f>$C153/C$11</f>
        <v>244238.90783386014</v>
      </c>
      <c r="G153" s="80">
        <f t="shared" ref="G153" si="24">$C153/C$98</f>
        <v>26.216469923451044</v>
      </c>
    </row>
    <row r="154" spans="1:7" x14ac:dyDescent="0.2">
      <c r="A154" s="97"/>
      <c r="B154" s="3" t="s">
        <v>77</v>
      </c>
      <c r="C154" s="70">
        <f>C56</f>
        <v>3659375</v>
      </c>
      <c r="G154" s="45"/>
    </row>
    <row r="155" spans="1:7" x14ac:dyDescent="0.2">
      <c r="A155" s="97" t="s">
        <v>78</v>
      </c>
      <c r="B155" s="124" t="s">
        <v>79</v>
      </c>
      <c r="C155" s="11">
        <f>C154+C153</f>
        <v>5124808.4470031606</v>
      </c>
      <c r="G155" s="45"/>
    </row>
    <row r="156" spans="1:7" x14ac:dyDescent="0.2">
      <c r="A156" s="101"/>
      <c r="B156" s="3"/>
      <c r="C156" s="7"/>
      <c r="G156" s="45"/>
    </row>
    <row r="157" spans="1:7" ht="25.5" x14ac:dyDescent="0.2">
      <c r="A157" s="101"/>
      <c r="B157" s="124" t="s">
        <v>80</v>
      </c>
      <c r="C157" s="13">
        <f>C151/C153</f>
        <v>0.1242549741824584</v>
      </c>
      <c r="G157" s="45"/>
    </row>
    <row r="158" spans="1:7" x14ac:dyDescent="0.2">
      <c r="A158" s="101"/>
      <c r="B158" s="3"/>
      <c r="C158" s="9"/>
      <c r="G158" s="45"/>
    </row>
    <row r="159" spans="1:7" ht="25.5" x14ac:dyDescent="0.2">
      <c r="A159" s="101"/>
      <c r="B159" s="124" t="s">
        <v>81</v>
      </c>
      <c r="C159" s="13">
        <f>C151/C155</f>
        <v>3.5530575826686402E-2</v>
      </c>
      <c r="G159" s="45"/>
    </row>
    <row r="160" spans="1:7" ht="13.5" thickBot="1" x14ac:dyDescent="0.25">
      <c r="A160" s="102"/>
      <c r="B160" s="103"/>
      <c r="C160" s="104"/>
      <c r="D160" s="34"/>
      <c r="E160" s="34"/>
      <c r="F160" s="34"/>
      <c r="G160" s="49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8"/>
  <sheetViews>
    <sheetView topLeftCell="B24" zoomScaleNormal="100" workbookViewId="0">
      <selection activeCell="G12" sqref="G12"/>
    </sheetView>
  </sheetViews>
  <sheetFormatPr defaultRowHeight="16.5" x14ac:dyDescent="0.3"/>
  <cols>
    <col min="2" max="2" width="35.375" customWidth="1"/>
    <col min="3" max="3" width="18.875" customWidth="1"/>
    <col min="4" max="4" width="13.625" customWidth="1"/>
    <col min="5" max="5" width="14.875" customWidth="1"/>
    <col min="6" max="6" width="12.375" customWidth="1"/>
    <col min="7" max="7" width="11.875" bestFit="1" customWidth="1"/>
    <col min="8" max="8" width="10.875" bestFit="1" customWidth="1"/>
    <col min="9" max="9" width="9.125" bestFit="1" customWidth="1"/>
    <col min="10" max="10" width="11.875" bestFit="1" customWidth="1"/>
    <col min="11" max="15" width="9.125" bestFit="1" customWidth="1"/>
  </cols>
  <sheetData>
    <row r="1" spans="2:15" x14ac:dyDescent="0.3">
      <c r="B1" s="15"/>
      <c r="C1" s="1" t="s">
        <v>150</v>
      </c>
      <c r="D1" s="1"/>
    </row>
    <row r="2" spans="2:15" x14ac:dyDescent="0.3">
      <c r="B2" s="17"/>
      <c r="C2" s="1" t="s">
        <v>117</v>
      </c>
      <c r="D2" s="1"/>
    </row>
    <row r="3" spans="2:15" ht="17.25" thickBot="1" x14ac:dyDescent="0.35">
      <c r="B3" s="126"/>
      <c r="C3" s="1" t="s">
        <v>208</v>
      </c>
      <c r="D3" s="1"/>
    </row>
    <row r="4" spans="2:15" x14ac:dyDescent="0.3">
      <c r="B4" s="146" t="s">
        <v>155</v>
      </c>
      <c r="C4" s="350"/>
      <c r="D4" s="147"/>
      <c r="E4" s="147"/>
      <c r="F4" s="148"/>
      <c r="G4" s="147"/>
      <c r="H4" s="147"/>
      <c r="I4" s="147"/>
      <c r="J4" s="147"/>
      <c r="K4" s="148"/>
    </row>
    <row r="5" spans="2:15" x14ac:dyDescent="0.3">
      <c r="B5" s="149" t="s">
        <v>269</v>
      </c>
      <c r="C5" s="1" t="s">
        <v>260</v>
      </c>
      <c r="D5" s="351">
        <f>'Fleet Data Input and Reports '!C12</f>
        <v>9</v>
      </c>
      <c r="E5" t="s">
        <v>38</v>
      </c>
      <c r="F5" s="353">
        <f>'Fleet Data Input and Reports '!C13</f>
        <v>8</v>
      </c>
      <c r="K5" s="151"/>
    </row>
    <row r="6" spans="2:15" x14ac:dyDescent="0.3">
      <c r="B6" s="149" t="s">
        <v>154</v>
      </c>
      <c r="C6" s="352" t="s">
        <v>261</v>
      </c>
      <c r="D6">
        <v>10</v>
      </c>
      <c r="E6">
        <v>5</v>
      </c>
      <c r="F6" s="151">
        <v>3</v>
      </c>
      <c r="G6" s="145" t="s">
        <v>234</v>
      </c>
      <c r="H6" s="145"/>
      <c r="I6" s="145"/>
      <c r="J6" s="145"/>
      <c r="K6" s="151"/>
    </row>
    <row r="7" spans="2:15" ht="17.25" thickBot="1" x14ac:dyDescent="0.35">
      <c r="B7" s="165" t="s">
        <v>156</v>
      </c>
      <c r="C7" s="153" t="s">
        <v>262</v>
      </c>
      <c r="D7" s="153" t="s">
        <v>158</v>
      </c>
      <c r="E7" s="153" t="s">
        <v>159</v>
      </c>
      <c r="F7" s="154"/>
      <c r="G7" s="145" t="s">
        <v>235</v>
      </c>
      <c r="H7" s="145"/>
      <c r="I7" s="145"/>
      <c r="J7" s="145"/>
      <c r="K7" s="151"/>
    </row>
    <row r="8" spans="2:15" ht="17.25" thickBot="1" x14ac:dyDescent="0.35">
      <c r="B8" s="204" t="s">
        <v>251</v>
      </c>
      <c r="C8" s="209" t="s">
        <v>228</v>
      </c>
      <c r="D8" s="209"/>
      <c r="E8" s="209"/>
      <c r="F8" s="209"/>
      <c r="G8" s="304"/>
      <c r="H8" s="168"/>
      <c r="I8" s="168"/>
      <c r="J8" s="168"/>
      <c r="K8" s="154"/>
    </row>
    <row r="9" spans="2:15" ht="17.25" thickBot="1" x14ac:dyDescent="0.35"/>
    <row r="10" spans="2:15" x14ac:dyDescent="0.3">
      <c r="B10" s="164" t="s">
        <v>217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8"/>
    </row>
    <row r="11" spans="2:15" x14ac:dyDescent="0.3">
      <c r="B11" s="149" t="s">
        <v>253</v>
      </c>
      <c r="C11" s="238" t="s">
        <v>252</v>
      </c>
      <c r="O11" s="151"/>
    </row>
    <row r="12" spans="2:15" x14ac:dyDescent="0.3">
      <c r="B12" s="149" t="s">
        <v>255</v>
      </c>
      <c r="C12" s="238"/>
      <c r="D12" s="145" t="s">
        <v>254</v>
      </c>
      <c r="E12" s="145"/>
      <c r="F12" s="145"/>
      <c r="G12" s="145">
        <v>150</v>
      </c>
      <c r="O12" s="151"/>
    </row>
    <row r="13" spans="2:15" x14ac:dyDescent="0.3">
      <c r="B13" s="149" t="s">
        <v>256</v>
      </c>
      <c r="C13" s="238"/>
      <c r="O13" s="151"/>
    </row>
    <row r="14" spans="2:15" x14ac:dyDescent="0.3">
      <c r="B14" s="149" t="s">
        <v>258</v>
      </c>
      <c r="C14" s="238" t="s">
        <v>259</v>
      </c>
      <c r="D14" s="145" t="s">
        <v>263</v>
      </c>
      <c r="G14" s="145">
        <f>G12*0.33</f>
        <v>49.5</v>
      </c>
      <c r="O14" s="151"/>
    </row>
    <row r="15" spans="2:15" x14ac:dyDescent="0.3">
      <c r="B15" s="149" t="s">
        <v>172</v>
      </c>
      <c r="O15" s="151"/>
    </row>
    <row r="16" spans="2:15" ht="17.25" thickBot="1" x14ac:dyDescent="0.35">
      <c r="B16" s="149" t="s">
        <v>257</v>
      </c>
      <c r="C16" s="152" t="s">
        <v>170</v>
      </c>
      <c r="D16" s="152" t="s">
        <v>171</v>
      </c>
      <c r="E16" s="168" t="s">
        <v>224</v>
      </c>
      <c r="F16" s="168"/>
      <c r="G16" s="168"/>
      <c r="H16" s="168"/>
      <c r="I16" s="168"/>
      <c r="J16" s="168"/>
      <c r="K16" s="168"/>
      <c r="L16" s="168"/>
      <c r="M16" s="168"/>
      <c r="N16" s="168"/>
      <c r="O16" s="154"/>
    </row>
    <row r="17" spans="2:15" ht="17.25" thickBot="1" x14ac:dyDescent="0.35">
      <c r="B17" s="165" t="s">
        <v>223</v>
      </c>
      <c r="C17" s="152" t="s">
        <v>170</v>
      </c>
      <c r="D17" s="152" t="s">
        <v>171</v>
      </c>
      <c r="E17" s="168" t="s">
        <v>224</v>
      </c>
      <c r="F17" s="168"/>
      <c r="G17" s="168"/>
      <c r="H17" s="168"/>
      <c r="I17" s="168"/>
      <c r="J17" s="168"/>
      <c r="K17" s="168"/>
      <c r="L17" s="168"/>
      <c r="M17" s="168"/>
      <c r="N17" s="168"/>
      <c r="O17" s="154"/>
    </row>
    <row r="18" spans="2:15" ht="17.25" thickBot="1" x14ac:dyDescent="0.35">
      <c r="B18" s="278" t="s">
        <v>151</v>
      </c>
      <c r="O18" s="151"/>
    </row>
    <row r="19" spans="2:15" x14ac:dyDescent="0.3">
      <c r="B19" s="149" t="s">
        <v>152</v>
      </c>
      <c r="C19" s="138" t="s">
        <v>169</v>
      </c>
      <c r="D19" s="138" t="s">
        <v>19</v>
      </c>
      <c r="E19" s="138" t="s">
        <v>20</v>
      </c>
      <c r="F19" s="138" t="s">
        <v>82</v>
      </c>
      <c r="G19" s="139" t="s">
        <v>21</v>
      </c>
      <c r="H19" s="138" t="s">
        <v>22</v>
      </c>
      <c r="I19" s="138" t="s">
        <v>83</v>
      </c>
      <c r="J19" s="138" t="s">
        <v>23</v>
      </c>
      <c r="K19" s="138" t="s">
        <v>24</v>
      </c>
      <c r="L19" s="138" t="s">
        <v>25</v>
      </c>
      <c r="M19" s="139" t="s">
        <v>26</v>
      </c>
      <c r="N19" s="138" t="s">
        <v>27</v>
      </c>
      <c r="O19" s="140" t="s">
        <v>28</v>
      </c>
    </row>
    <row r="20" spans="2:15" x14ac:dyDescent="0.3">
      <c r="B20" s="150" t="s">
        <v>168</v>
      </c>
      <c r="C20" s="305">
        <f>SUM(D20:O20)</f>
        <v>1140</v>
      </c>
      <c r="D20" s="238">
        <v>50</v>
      </c>
      <c r="E20" s="238">
        <v>100</v>
      </c>
      <c r="F20" s="238">
        <v>150</v>
      </c>
      <c r="G20" s="238">
        <v>500</v>
      </c>
      <c r="H20" s="238">
        <v>200</v>
      </c>
      <c r="I20" s="238">
        <v>20</v>
      </c>
      <c r="J20" s="238">
        <v>20</v>
      </c>
      <c r="K20" s="238">
        <v>20</v>
      </c>
      <c r="L20" s="238">
        <v>20</v>
      </c>
      <c r="M20" s="238">
        <v>20</v>
      </c>
      <c r="N20" s="238">
        <v>20</v>
      </c>
      <c r="O20" s="239">
        <v>20</v>
      </c>
    </row>
    <row r="21" spans="2:15" x14ac:dyDescent="0.3">
      <c r="B21" s="167" t="s">
        <v>164</v>
      </c>
      <c r="C21" s="305">
        <f>SUM(D21:O21)</f>
        <v>950</v>
      </c>
      <c r="D21" s="238"/>
      <c r="E21" s="238">
        <v>100</v>
      </c>
      <c r="F21" s="238">
        <v>150</v>
      </c>
      <c r="G21" s="238">
        <v>500</v>
      </c>
      <c r="H21" s="238">
        <v>200</v>
      </c>
      <c r="I21" s="238"/>
      <c r="J21" s="238"/>
      <c r="K21" s="238"/>
      <c r="L21" s="238"/>
      <c r="M21" s="238"/>
      <c r="N21" s="238"/>
      <c r="O21" s="239"/>
    </row>
    <row r="22" spans="2:15" x14ac:dyDescent="0.3">
      <c r="B22" s="167" t="s">
        <v>165</v>
      </c>
      <c r="C22" s="305">
        <f>SUM(D22:O22)</f>
        <v>0</v>
      </c>
      <c r="D22" s="252"/>
      <c r="E22" s="252"/>
      <c r="F22" s="252"/>
      <c r="G22" s="253"/>
      <c r="H22" s="252"/>
      <c r="I22" s="252"/>
      <c r="J22" s="252"/>
      <c r="K22" s="252"/>
      <c r="L22" s="252"/>
      <c r="M22" s="253"/>
      <c r="N22" s="252"/>
      <c r="O22" s="254"/>
    </row>
    <row r="23" spans="2:15" x14ac:dyDescent="0.3">
      <c r="B23" s="167" t="s">
        <v>166</v>
      </c>
      <c r="C23" s="138"/>
      <c r="D23" s="138"/>
      <c r="E23" s="138"/>
      <c r="F23" s="138"/>
      <c r="G23" s="139"/>
      <c r="H23" s="138"/>
      <c r="I23" s="138"/>
      <c r="J23" s="138"/>
      <c r="K23" s="138"/>
      <c r="L23" s="138"/>
      <c r="M23" s="139"/>
      <c r="N23" s="138"/>
      <c r="O23" s="140"/>
    </row>
    <row r="24" spans="2:15" x14ac:dyDescent="0.3">
      <c r="B24" s="243" t="s">
        <v>174</v>
      </c>
      <c r="C24" s="244">
        <f>SUM(D24:O24)</f>
        <v>2090</v>
      </c>
      <c r="D24" s="244">
        <f>SUM(D20:D23)</f>
        <v>50</v>
      </c>
      <c r="E24" s="244">
        <f t="shared" ref="E24:O24" si="0">SUM(E20:E23)</f>
        <v>200</v>
      </c>
      <c r="F24" s="244">
        <f t="shared" si="0"/>
        <v>300</v>
      </c>
      <c r="G24" s="244">
        <f t="shared" si="0"/>
        <v>1000</v>
      </c>
      <c r="H24" s="244">
        <f t="shared" si="0"/>
        <v>400</v>
      </c>
      <c r="I24" s="244">
        <f t="shared" si="0"/>
        <v>20</v>
      </c>
      <c r="J24" s="244">
        <f t="shared" si="0"/>
        <v>20</v>
      </c>
      <c r="K24" s="244">
        <f t="shared" si="0"/>
        <v>20</v>
      </c>
      <c r="L24" s="244">
        <f t="shared" si="0"/>
        <v>20</v>
      </c>
      <c r="M24" s="244">
        <f t="shared" si="0"/>
        <v>20</v>
      </c>
      <c r="N24" s="244">
        <f t="shared" si="0"/>
        <v>20</v>
      </c>
      <c r="O24" s="245">
        <f t="shared" si="0"/>
        <v>20</v>
      </c>
    </row>
    <row r="25" spans="2:15" x14ac:dyDescent="0.3">
      <c r="B25" s="149" t="s">
        <v>227</v>
      </c>
      <c r="O25" s="151"/>
    </row>
    <row r="26" spans="2:15" x14ac:dyDescent="0.3">
      <c r="B26" s="149" t="s">
        <v>152</v>
      </c>
      <c r="C26" s="138" t="s">
        <v>169</v>
      </c>
      <c r="D26" s="138" t="s">
        <v>19</v>
      </c>
      <c r="E26" s="138" t="s">
        <v>20</v>
      </c>
      <c r="F26" s="138" t="s">
        <v>82</v>
      </c>
      <c r="G26" s="139" t="s">
        <v>21</v>
      </c>
      <c r="H26" s="138" t="s">
        <v>22</v>
      </c>
      <c r="I26" s="138" t="s">
        <v>83</v>
      </c>
      <c r="J26" s="138" t="s">
        <v>23</v>
      </c>
      <c r="K26" s="138" t="s">
        <v>24</v>
      </c>
      <c r="L26" s="138" t="s">
        <v>25</v>
      </c>
      <c r="M26" s="139" t="s">
        <v>26</v>
      </c>
      <c r="N26" s="138" t="s">
        <v>27</v>
      </c>
      <c r="O26" s="140" t="s">
        <v>28</v>
      </c>
    </row>
    <row r="27" spans="2:15" x14ac:dyDescent="0.3">
      <c r="B27" s="251" t="s">
        <v>210</v>
      </c>
      <c r="C27" s="145">
        <f>SUM(D27:O27)</f>
        <v>1142.5</v>
      </c>
      <c r="D27" s="145">
        <f>D20*(1+D$34)</f>
        <v>50</v>
      </c>
      <c r="E27" s="145">
        <f t="shared" ref="E27:O27" si="1">E20*(1+E34)</f>
        <v>100</v>
      </c>
      <c r="F27" s="145">
        <f t="shared" si="1"/>
        <v>155.00000000000003</v>
      </c>
      <c r="G27" s="145">
        <f t="shared" si="1"/>
        <v>502.49999999999994</v>
      </c>
      <c r="H27" s="145">
        <f t="shared" si="1"/>
        <v>195</v>
      </c>
      <c r="I27" s="145">
        <f t="shared" si="1"/>
        <v>20</v>
      </c>
      <c r="J27" s="145">
        <f t="shared" si="1"/>
        <v>20</v>
      </c>
      <c r="K27" s="145">
        <f t="shared" si="1"/>
        <v>20</v>
      </c>
      <c r="L27" s="145">
        <f t="shared" si="1"/>
        <v>20</v>
      </c>
      <c r="M27" s="145">
        <f t="shared" si="1"/>
        <v>20</v>
      </c>
      <c r="N27" s="145">
        <f t="shared" si="1"/>
        <v>20</v>
      </c>
      <c r="O27" s="145">
        <f t="shared" si="1"/>
        <v>20</v>
      </c>
    </row>
    <row r="28" spans="2:15" x14ac:dyDescent="0.3">
      <c r="B28" s="167" t="s">
        <v>164</v>
      </c>
      <c r="C28" s="145">
        <f>SUM(D28:O28)</f>
        <v>952.5</v>
      </c>
      <c r="D28" s="145">
        <f>D21*(1+D$34)</f>
        <v>0</v>
      </c>
      <c r="E28" s="145">
        <f t="shared" ref="E28:O28" si="2">E21*(1+E$34)</f>
        <v>100</v>
      </c>
      <c r="F28" s="145">
        <f t="shared" si="2"/>
        <v>155.00000000000003</v>
      </c>
      <c r="G28" s="145">
        <f t="shared" si="2"/>
        <v>502.49999999999994</v>
      </c>
      <c r="H28" s="145">
        <f t="shared" si="2"/>
        <v>195</v>
      </c>
      <c r="I28" s="145">
        <f t="shared" si="2"/>
        <v>0</v>
      </c>
      <c r="J28" s="145">
        <f t="shared" si="2"/>
        <v>0</v>
      </c>
      <c r="K28" s="145">
        <f t="shared" si="2"/>
        <v>0</v>
      </c>
      <c r="L28" s="145">
        <f t="shared" si="2"/>
        <v>0</v>
      </c>
      <c r="M28" s="145">
        <f t="shared" si="2"/>
        <v>0</v>
      </c>
      <c r="N28" s="145">
        <f t="shared" si="2"/>
        <v>0</v>
      </c>
      <c r="O28" s="145">
        <f t="shared" si="2"/>
        <v>0</v>
      </c>
    </row>
    <row r="29" spans="2:15" x14ac:dyDescent="0.3">
      <c r="B29" s="167" t="s">
        <v>165</v>
      </c>
      <c r="C29" s="145">
        <f>SUM(D29:O29)</f>
        <v>0</v>
      </c>
      <c r="D29" s="145">
        <f>D22*(1+D$34)</f>
        <v>0</v>
      </c>
      <c r="E29" s="145">
        <f t="shared" ref="E29:O29" si="3">E22*(1+E$34)</f>
        <v>0</v>
      </c>
      <c r="F29" s="145">
        <f t="shared" si="3"/>
        <v>0</v>
      </c>
      <c r="G29" s="145">
        <f t="shared" si="3"/>
        <v>0</v>
      </c>
      <c r="H29" s="145">
        <f t="shared" si="3"/>
        <v>0</v>
      </c>
      <c r="I29" s="145">
        <f t="shared" si="3"/>
        <v>0</v>
      </c>
      <c r="J29" s="145">
        <f t="shared" si="3"/>
        <v>0</v>
      </c>
      <c r="K29" s="145">
        <f t="shared" si="3"/>
        <v>0</v>
      </c>
      <c r="L29" s="145">
        <f t="shared" si="3"/>
        <v>0</v>
      </c>
      <c r="M29" s="145">
        <f t="shared" si="3"/>
        <v>0</v>
      </c>
      <c r="N29" s="145">
        <f t="shared" si="3"/>
        <v>0</v>
      </c>
      <c r="O29" s="145">
        <f t="shared" si="3"/>
        <v>0</v>
      </c>
    </row>
    <row r="30" spans="2:15" x14ac:dyDescent="0.3">
      <c r="B30" s="167" t="s">
        <v>166</v>
      </c>
      <c r="C30" t="s">
        <v>85</v>
      </c>
      <c r="O30" s="151"/>
    </row>
    <row r="31" spans="2:15" ht="17.25" thickBot="1" x14ac:dyDescent="0.35">
      <c r="B31" s="240" t="s">
        <v>211</v>
      </c>
      <c r="C31" s="241">
        <f>SUM(D31:O31)</f>
        <v>2095</v>
      </c>
      <c r="D31" s="241">
        <f>SUM(D27:D30)</f>
        <v>50</v>
      </c>
      <c r="E31" s="241">
        <f t="shared" ref="E31:O31" si="4">SUM(E27:E30)</f>
        <v>200</v>
      </c>
      <c r="F31" s="241">
        <f t="shared" si="4"/>
        <v>310.00000000000006</v>
      </c>
      <c r="G31" s="241">
        <f t="shared" si="4"/>
        <v>1004.9999999999999</v>
      </c>
      <c r="H31" s="241">
        <f t="shared" si="4"/>
        <v>390</v>
      </c>
      <c r="I31" s="241">
        <f t="shared" si="4"/>
        <v>20</v>
      </c>
      <c r="J31" s="241">
        <f t="shared" si="4"/>
        <v>20</v>
      </c>
      <c r="K31" s="241">
        <f t="shared" si="4"/>
        <v>20</v>
      </c>
      <c r="L31" s="241">
        <f t="shared" si="4"/>
        <v>20</v>
      </c>
      <c r="M31" s="241">
        <f t="shared" si="4"/>
        <v>20</v>
      </c>
      <c r="N31" s="241">
        <f t="shared" si="4"/>
        <v>20</v>
      </c>
      <c r="O31" s="242">
        <f t="shared" si="4"/>
        <v>20</v>
      </c>
    </row>
    <row r="32" spans="2:15" x14ac:dyDescent="0.3">
      <c r="B32" s="149" t="s">
        <v>195</v>
      </c>
      <c r="C32" s="238">
        <v>2</v>
      </c>
      <c r="O32" s="151"/>
    </row>
    <row r="33" spans="1:15" ht="33.75" thickBot="1" x14ac:dyDescent="0.35">
      <c r="B33" s="162" t="s">
        <v>162</v>
      </c>
      <c r="C33" s="246">
        <f>SUM(D33:O33)</f>
        <v>2095</v>
      </c>
      <c r="D33" s="152">
        <v>50</v>
      </c>
      <c r="E33" s="152">
        <v>200</v>
      </c>
      <c r="F33" s="152">
        <v>310</v>
      </c>
      <c r="G33" s="152">
        <v>1005</v>
      </c>
      <c r="H33" s="152">
        <v>390</v>
      </c>
      <c r="I33" s="152">
        <v>20</v>
      </c>
      <c r="J33" s="152">
        <v>20</v>
      </c>
      <c r="K33" s="152">
        <v>20</v>
      </c>
      <c r="L33" s="152">
        <v>20</v>
      </c>
      <c r="M33" s="152">
        <v>20</v>
      </c>
      <c r="N33" s="152">
        <v>20</v>
      </c>
      <c r="O33" s="175">
        <v>20</v>
      </c>
    </row>
    <row r="34" spans="1:15" ht="17.25" thickBot="1" x14ac:dyDescent="0.35">
      <c r="B34" s="247" t="s">
        <v>212</v>
      </c>
      <c r="C34" s="248"/>
      <c r="D34" s="249">
        <f t="shared" ref="D34:O34" si="5">((D33-D24)/D24)</f>
        <v>0</v>
      </c>
      <c r="E34" s="249">
        <f t="shared" si="5"/>
        <v>0</v>
      </c>
      <c r="F34" s="249">
        <f t="shared" si="5"/>
        <v>3.3333333333333333E-2</v>
      </c>
      <c r="G34" s="249">
        <f t="shared" si="5"/>
        <v>5.0000000000000001E-3</v>
      </c>
      <c r="H34" s="249">
        <f t="shared" si="5"/>
        <v>-2.5000000000000001E-2</v>
      </c>
      <c r="I34" s="249">
        <f t="shared" si="5"/>
        <v>0</v>
      </c>
      <c r="J34" s="249">
        <f t="shared" si="5"/>
        <v>0</v>
      </c>
      <c r="K34" s="249">
        <f t="shared" si="5"/>
        <v>0</v>
      </c>
      <c r="L34" s="249">
        <f t="shared" si="5"/>
        <v>0</v>
      </c>
      <c r="M34" s="249">
        <f t="shared" si="5"/>
        <v>0</v>
      </c>
      <c r="N34" s="249">
        <f t="shared" si="5"/>
        <v>0</v>
      </c>
      <c r="O34" s="250">
        <f t="shared" si="5"/>
        <v>0</v>
      </c>
    </row>
    <row r="35" spans="1:15" ht="17.25" thickBot="1" x14ac:dyDescent="0.35">
      <c r="F35" s="203" t="s">
        <v>189</v>
      </c>
      <c r="O35" s="151"/>
    </row>
    <row r="36" spans="1:15" x14ac:dyDescent="0.3">
      <c r="B36" s="176" t="s">
        <v>175</v>
      </c>
      <c r="C36" s="170" t="s">
        <v>169</v>
      </c>
      <c r="D36" s="170" t="s">
        <v>19</v>
      </c>
      <c r="E36" s="170" t="s">
        <v>20</v>
      </c>
      <c r="F36" s="170" t="s">
        <v>82</v>
      </c>
      <c r="G36" s="171" t="s">
        <v>21</v>
      </c>
      <c r="H36" s="170" t="s">
        <v>22</v>
      </c>
      <c r="I36" s="170" t="s">
        <v>83</v>
      </c>
      <c r="J36" s="170" t="s">
        <v>23</v>
      </c>
      <c r="K36" s="170" t="s">
        <v>24</v>
      </c>
      <c r="L36" s="170" t="s">
        <v>25</v>
      </c>
      <c r="M36" s="171" t="s">
        <v>26</v>
      </c>
      <c r="N36" s="170" t="s">
        <v>27</v>
      </c>
      <c r="O36" s="172" t="s">
        <v>28</v>
      </c>
    </row>
    <row r="37" spans="1:15" ht="17.25" thickBot="1" x14ac:dyDescent="0.35">
      <c r="B37" s="197" t="s">
        <v>183</v>
      </c>
      <c r="C37" s="153">
        <f>SUM(D37:O37)</f>
        <v>2150</v>
      </c>
      <c r="D37" s="153">
        <v>100</v>
      </c>
      <c r="E37" s="153">
        <v>200</v>
      </c>
      <c r="F37" s="153">
        <v>300</v>
      </c>
      <c r="G37" s="153">
        <v>400</v>
      </c>
      <c r="H37" s="153">
        <v>500</v>
      </c>
      <c r="I37" s="153">
        <v>600</v>
      </c>
      <c r="J37" s="153">
        <v>50</v>
      </c>
      <c r="K37" s="153"/>
      <c r="L37" s="153"/>
      <c r="M37" s="153"/>
      <c r="N37" s="153"/>
      <c r="O37" s="154"/>
    </row>
    <row r="38" spans="1:15" ht="17.25" thickBot="1" x14ac:dyDescent="0.35">
      <c r="B38" s="149" t="s">
        <v>196</v>
      </c>
      <c r="C38" s="152">
        <v>3</v>
      </c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4"/>
    </row>
    <row r="39" spans="1:15" ht="33.75" thickBot="1" x14ac:dyDescent="0.35">
      <c r="B39" s="162" t="s">
        <v>185</v>
      </c>
      <c r="C39" s="168">
        <f>SUM(D39:O39)</f>
        <v>2195</v>
      </c>
      <c r="D39" s="152">
        <v>100</v>
      </c>
      <c r="E39" s="152">
        <v>190</v>
      </c>
      <c r="F39" s="152">
        <v>290</v>
      </c>
      <c r="G39" s="152">
        <v>420</v>
      </c>
      <c r="H39" s="152">
        <v>500</v>
      </c>
      <c r="I39" s="152">
        <v>600</v>
      </c>
      <c r="J39" s="152">
        <v>45</v>
      </c>
      <c r="K39" s="152"/>
      <c r="L39" s="152">
        <v>50</v>
      </c>
      <c r="M39" s="152"/>
      <c r="N39" s="152"/>
      <c r="O39" s="175"/>
    </row>
    <row r="40" spans="1:15" ht="17.25" thickBot="1" x14ac:dyDescent="0.35">
      <c r="B40" s="153" t="s">
        <v>238</v>
      </c>
      <c r="C40" s="168">
        <f>+C38+C32</f>
        <v>5</v>
      </c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4"/>
    </row>
    <row r="41" spans="1:15" x14ac:dyDescent="0.3">
      <c r="A41" t="s">
        <v>178</v>
      </c>
      <c r="B41" s="173" t="s">
        <v>176</v>
      </c>
      <c r="C41" s="170" t="s">
        <v>169</v>
      </c>
      <c r="D41" s="170" t="s">
        <v>19</v>
      </c>
      <c r="E41" s="170" t="s">
        <v>20</v>
      </c>
      <c r="F41" s="170" t="s">
        <v>82</v>
      </c>
      <c r="G41" s="171" t="s">
        <v>21</v>
      </c>
      <c r="H41" s="170" t="s">
        <v>22</v>
      </c>
      <c r="I41" s="170" t="s">
        <v>83</v>
      </c>
      <c r="J41" s="170" t="s">
        <v>23</v>
      </c>
      <c r="K41" s="170" t="s">
        <v>24</v>
      </c>
      <c r="L41" s="170" t="s">
        <v>25</v>
      </c>
      <c r="M41" s="171" t="s">
        <v>26</v>
      </c>
      <c r="N41" s="170" t="s">
        <v>27</v>
      </c>
      <c r="O41" s="172" t="s">
        <v>28</v>
      </c>
    </row>
    <row r="42" spans="1:15" ht="17.25" thickBot="1" x14ac:dyDescent="0.35">
      <c r="B42" s="174" t="s">
        <v>173</v>
      </c>
      <c r="C42" s="168">
        <f>SUM(D42:O42)</f>
        <v>4245</v>
      </c>
      <c r="D42" s="168">
        <f t="shared" ref="D42:O42" si="6">+D37+D31</f>
        <v>150</v>
      </c>
      <c r="E42" s="168">
        <f t="shared" si="6"/>
        <v>400</v>
      </c>
      <c r="F42" s="168">
        <f t="shared" si="6"/>
        <v>610</v>
      </c>
      <c r="G42" s="168">
        <f t="shared" si="6"/>
        <v>1405</v>
      </c>
      <c r="H42" s="168">
        <f t="shared" si="6"/>
        <v>890</v>
      </c>
      <c r="I42" s="168">
        <f t="shared" si="6"/>
        <v>620</v>
      </c>
      <c r="J42" s="168">
        <f t="shared" si="6"/>
        <v>70</v>
      </c>
      <c r="K42" s="168">
        <f t="shared" si="6"/>
        <v>20</v>
      </c>
      <c r="L42" s="168">
        <f t="shared" si="6"/>
        <v>20</v>
      </c>
      <c r="M42" s="168">
        <f t="shared" si="6"/>
        <v>20</v>
      </c>
      <c r="N42" s="168">
        <f t="shared" si="6"/>
        <v>20</v>
      </c>
      <c r="O42" s="169">
        <f t="shared" si="6"/>
        <v>20</v>
      </c>
    </row>
    <row r="43" spans="1:15" ht="17.25" thickBot="1" x14ac:dyDescent="0.35">
      <c r="B43" s="166"/>
    </row>
    <row r="44" spans="1:15" x14ac:dyDescent="0.3">
      <c r="A44" t="s">
        <v>179</v>
      </c>
      <c r="B44" s="173" t="s">
        <v>177</v>
      </c>
      <c r="C44" s="170" t="s">
        <v>169</v>
      </c>
      <c r="D44" s="170" t="s">
        <v>19</v>
      </c>
      <c r="E44" s="170" t="s">
        <v>20</v>
      </c>
      <c r="F44" s="170" t="s">
        <v>82</v>
      </c>
      <c r="G44" s="171" t="s">
        <v>21</v>
      </c>
      <c r="H44" s="170" t="s">
        <v>22</v>
      </c>
      <c r="I44" s="170" t="s">
        <v>83</v>
      </c>
      <c r="J44" s="170" t="s">
        <v>23</v>
      </c>
      <c r="K44" s="170" t="s">
        <v>24</v>
      </c>
      <c r="L44" s="170" t="s">
        <v>25</v>
      </c>
      <c r="M44" s="171" t="s">
        <v>26</v>
      </c>
      <c r="N44" s="170" t="s">
        <v>27</v>
      </c>
      <c r="O44" s="172" t="s">
        <v>28</v>
      </c>
    </row>
    <row r="45" spans="1:15" ht="17.25" thickBot="1" x14ac:dyDescent="0.35">
      <c r="B45" s="174" t="s">
        <v>173</v>
      </c>
      <c r="C45" s="168">
        <f>SUM(D45:O45)</f>
        <v>4290</v>
      </c>
      <c r="D45" s="168">
        <f t="shared" ref="D45:O45" si="7">D39+D33</f>
        <v>150</v>
      </c>
      <c r="E45" s="168">
        <f t="shared" si="7"/>
        <v>390</v>
      </c>
      <c r="F45" s="168">
        <f t="shared" si="7"/>
        <v>600</v>
      </c>
      <c r="G45" s="168">
        <f t="shared" si="7"/>
        <v>1425</v>
      </c>
      <c r="H45" s="168">
        <f t="shared" si="7"/>
        <v>890</v>
      </c>
      <c r="I45" s="168">
        <f t="shared" si="7"/>
        <v>620</v>
      </c>
      <c r="J45" s="168">
        <f t="shared" si="7"/>
        <v>65</v>
      </c>
      <c r="K45" s="168">
        <f t="shared" si="7"/>
        <v>20</v>
      </c>
      <c r="L45" s="168">
        <f t="shared" si="7"/>
        <v>70</v>
      </c>
      <c r="M45" s="168">
        <f t="shared" si="7"/>
        <v>20</v>
      </c>
      <c r="N45" s="168">
        <f t="shared" si="7"/>
        <v>20</v>
      </c>
      <c r="O45" s="169">
        <f t="shared" si="7"/>
        <v>20</v>
      </c>
    </row>
    <row r="46" spans="1:15" ht="17.25" thickBot="1" x14ac:dyDescent="0.35">
      <c r="B46" s="166"/>
    </row>
    <row r="47" spans="1:15" x14ac:dyDescent="0.3">
      <c r="B47" s="155" t="s">
        <v>147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1"/>
    </row>
    <row r="48" spans="1:15" x14ac:dyDescent="0.3">
      <c r="B48" s="135"/>
      <c r="C48" s="136" t="s">
        <v>92</v>
      </c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7"/>
    </row>
    <row r="49" spans="2:15" x14ac:dyDescent="0.3">
      <c r="B49" s="137" t="s">
        <v>160</v>
      </c>
      <c r="C49" s="136" t="s">
        <v>91</v>
      </c>
      <c r="D49" s="136" t="s">
        <v>19</v>
      </c>
      <c r="E49" s="136" t="s">
        <v>20</v>
      </c>
      <c r="F49" s="136" t="s">
        <v>82</v>
      </c>
      <c r="G49" s="158" t="s">
        <v>21</v>
      </c>
      <c r="H49" s="136" t="s">
        <v>22</v>
      </c>
      <c r="I49" s="136" t="s">
        <v>83</v>
      </c>
      <c r="J49" s="136" t="s">
        <v>23</v>
      </c>
      <c r="K49" s="136" t="s">
        <v>24</v>
      </c>
      <c r="L49" s="136" t="s">
        <v>25</v>
      </c>
      <c r="M49" s="158" t="s">
        <v>26</v>
      </c>
      <c r="N49" s="136" t="s">
        <v>27</v>
      </c>
      <c r="O49" s="159" t="s">
        <v>28</v>
      </c>
    </row>
    <row r="50" spans="2:15" x14ac:dyDescent="0.3">
      <c r="B50" s="135"/>
      <c r="C50" s="156" t="s">
        <v>18</v>
      </c>
      <c r="D50" s="160">
        <f>'Fleet Data Input and Reports '!D62</f>
        <v>29</v>
      </c>
      <c r="E50" s="160">
        <f>'Fleet Data Input and Reports '!E62</f>
        <v>28.5</v>
      </c>
      <c r="F50" s="160">
        <f>'Fleet Data Input and Reports '!F62</f>
        <v>25.2</v>
      </c>
      <c r="G50" s="160">
        <f>'Fleet Data Input and Reports '!G62</f>
        <v>19.3</v>
      </c>
      <c r="H50" s="160">
        <f>'Fleet Data Input and Reports '!H62</f>
        <v>15.75</v>
      </c>
      <c r="I50" s="160">
        <f>'Fleet Data Input and Reports '!I62</f>
        <v>12.85</v>
      </c>
      <c r="J50" s="160">
        <f>'Fleet Data Input and Reports '!J62</f>
        <v>10.199999999999999</v>
      </c>
      <c r="K50" s="160">
        <f>'Fleet Data Input and Reports '!K62</f>
        <v>11</v>
      </c>
      <c r="L50" s="160">
        <f>'Fleet Data Input and Reports '!L62</f>
        <v>13.5</v>
      </c>
      <c r="M50" s="160">
        <f>'Fleet Data Input and Reports '!M62</f>
        <v>19.8</v>
      </c>
      <c r="N50" s="160">
        <f>'Fleet Data Input and Reports '!N62</f>
        <v>19.399999999999999</v>
      </c>
      <c r="O50" s="160">
        <f>'Fleet Data Input and Reports '!O62</f>
        <v>12.95</v>
      </c>
    </row>
    <row r="51" spans="2:15" x14ac:dyDescent="0.3">
      <c r="B51" s="135"/>
      <c r="C51" s="156" t="s">
        <v>29</v>
      </c>
      <c r="D51" s="160">
        <f>'Fleet Data Input and Reports '!D63</f>
        <v>27.5</v>
      </c>
      <c r="E51" s="160">
        <f>'Fleet Data Input and Reports '!E63</f>
        <v>27</v>
      </c>
      <c r="F51" s="160">
        <f>'Fleet Data Input and Reports '!F63</f>
        <v>24.8</v>
      </c>
      <c r="G51" s="160">
        <f>'Fleet Data Input and Reports '!G63</f>
        <v>18.100000000000001</v>
      </c>
      <c r="H51" s="160">
        <f>'Fleet Data Input and Reports '!H63</f>
        <v>14.9</v>
      </c>
      <c r="I51" s="160">
        <f>'Fleet Data Input and Reports '!I63</f>
        <v>12.2</v>
      </c>
      <c r="J51" s="160">
        <f>'Fleet Data Input and Reports '!J63</f>
        <v>8.5</v>
      </c>
      <c r="K51" s="160">
        <f>'Fleet Data Input and Reports '!K63</f>
        <v>10</v>
      </c>
      <c r="L51" s="160">
        <f>'Fleet Data Input and Reports '!L63</f>
        <v>12.9</v>
      </c>
      <c r="M51" s="160">
        <f>'Fleet Data Input and Reports '!M63</f>
        <v>18.899999999999999</v>
      </c>
      <c r="N51" s="160">
        <f>'Fleet Data Input and Reports '!N63</f>
        <v>19</v>
      </c>
      <c r="O51" s="160">
        <f>'Fleet Data Input and Reports '!O63</f>
        <v>12.1</v>
      </c>
    </row>
    <row r="52" spans="2:15" x14ac:dyDescent="0.3">
      <c r="B52" s="135"/>
      <c r="C52" s="156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1"/>
    </row>
    <row r="53" spans="2:15" x14ac:dyDescent="0.3">
      <c r="B53" s="177" t="s">
        <v>161</v>
      </c>
      <c r="C53" s="178" t="s">
        <v>90</v>
      </c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1"/>
    </row>
    <row r="54" spans="2:15" x14ac:dyDescent="0.3">
      <c r="B54" s="137" t="s">
        <v>160</v>
      </c>
      <c r="C54" s="136" t="s">
        <v>91</v>
      </c>
      <c r="D54" s="136" t="s">
        <v>19</v>
      </c>
      <c r="E54" s="136" t="s">
        <v>20</v>
      </c>
      <c r="F54" s="136" t="s">
        <v>82</v>
      </c>
      <c r="G54" s="158" t="s">
        <v>21</v>
      </c>
      <c r="H54" s="136" t="s">
        <v>22</v>
      </c>
      <c r="I54" s="136" t="s">
        <v>83</v>
      </c>
      <c r="J54" s="136" t="s">
        <v>23</v>
      </c>
      <c r="K54" s="136" t="s">
        <v>24</v>
      </c>
      <c r="L54" s="136" t="s">
        <v>25</v>
      </c>
      <c r="M54" s="158" t="s">
        <v>26</v>
      </c>
      <c r="N54" s="136" t="s">
        <v>27</v>
      </c>
      <c r="O54" s="159" t="s">
        <v>28</v>
      </c>
    </row>
    <row r="55" spans="2:15" x14ac:dyDescent="0.3">
      <c r="B55" s="177" t="s">
        <v>161</v>
      </c>
      <c r="C55" s="178" t="s">
        <v>18</v>
      </c>
      <c r="D55" s="160">
        <f>'Fleet Data Input and Reports '!D67</f>
        <v>29</v>
      </c>
      <c r="E55" s="160">
        <f>'Fleet Data Input and Reports '!E67</f>
        <v>28.5</v>
      </c>
      <c r="F55" s="160">
        <f>'Fleet Data Input and Reports '!F67</f>
        <v>25.2</v>
      </c>
      <c r="G55" s="160">
        <f>'Fleet Data Input and Reports '!G67</f>
        <v>19.3</v>
      </c>
      <c r="H55" s="160">
        <f>'Fleet Data Input and Reports '!H67</f>
        <v>15.75</v>
      </c>
      <c r="I55" s="160">
        <f>'Fleet Data Input and Reports '!I67</f>
        <v>12.85</v>
      </c>
      <c r="J55" s="160">
        <f>'Fleet Data Input and Reports '!J67</f>
        <v>10.199999999999999</v>
      </c>
      <c r="K55" s="160">
        <f>'Fleet Data Input and Reports '!K67</f>
        <v>11</v>
      </c>
      <c r="L55" s="160">
        <f>'Fleet Data Input and Reports '!L67</f>
        <v>13.5</v>
      </c>
      <c r="M55" s="160">
        <f>'Fleet Data Input and Reports '!M67</f>
        <v>19.8</v>
      </c>
      <c r="N55" s="160">
        <f>'Fleet Data Input and Reports '!N67</f>
        <v>19.399999999999999</v>
      </c>
      <c r="O55" s="160">
        <f>'Fleet Data Input and Reports '!O67</f>
        <v>12.95</v>
      </c>
    </row>
    <row r="56" spans="2:15" x14ac:dyDescent="0.3">
      <c r="B56" s="135"/>
      <c r="C56" s="156" t="s">
        <v>29</v>
      </c>
      <c r="D56" s="160">
        <f>'Fleet Data Input and Reports '!D68</f>
        <v>27.5</v>
      </c>
      <c r="E56" s="160">
        <f>'Fleet Data Input and Reports '!E68</f>
        <v>27</v>
      </c>
      <c r="F56" s="160">
        <f>'Fleet Data Input and Reports '!F68</f>
        <v>24.8</v>
      </c>
      <c r="G56" s="160">
        <f>'Fleet Data Input and Reports '!G68</f>
        <v>18.100000000000001</v>
      </c>
      <c r="H56" s="160">
        <f>'Fleet Data Input and Reports '!H68</f>
        <v>14.9</v>
      </c>
      <c r="I56" s="160">
        <f>'Fleet Data Input and Reports '!I68</f>
        <v>12.2</v>
      </c>
      <c r="J56" s="160">
        <f>'Fleet Data Input and Reports '!J68</f>
        <v>8.5</v>
      </c>
      <c r="K56" s="160">
        <f>'Fleet Data Input and Reports '!K68</f>
        <v>10</v>
      </c>
      <c r="L56" s="160">
        <f>'Fleet Data Input and Reports '!L68</f>
        <v>12.9</v>
      </c>
      <c r="M56" s="160">
        <f>'Fleet Data Input and Reports '!M68</f>
        <v>18.899999999999999</v>
      </c>
      <c r="N56" s="160">
        <f>'Fleet Data Input and Reports '!N68</f>
        <v>19</v>
      </c>
      <c r="O56" s="160">
        <f>'Fleet Data Input and Reports '!O68</f>
        <v>12.1</v>
      </c>
    </row>
    <row r="57" spans="2:15" x14ac:dyDescent="0.3">
      <c r="B57" s="135"/>
      <c r="C57" s="156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1"/>
    </row>
    <row r="58" spans="2:15" x14ac:dyDescent="0.3">
      <c r="B58" s="135"/>
      <c r="C58" s="136" t="s">
        <v>88</v>
      </c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</row>
    <row r="59" spans="2:15" x14ac:dyDescent="0.3">
      <c r="B59" s="137" t="s">
        <v>160</v>
      </c>
      <c r="C59" s="136" t="s">
        <v>91</v>
      </c>
      <c r="D59" s="136" t="s">
        <v>19</v>
      </c>
      <c r="E59" s="136" t="s">
        <v>20</v>
      </c>
      <c r="F59" s="136" t="s">
        <v>82</v>
      </c>
      <c r="G59" s="158" t="s">
        <v>21</v>
      </c>
      <c r="H59" s="136" t="s">
        <v>22</v>
      </c>
      <c r="I59" s="136" t="s">
        <v>83</v>
      </c>
      <c r="J59" s="136" t="s">
        <v>23</v>
      </c>
      <c r="K59" s="136" t="s">
        <v>24</v>
      </c>
      <c r="L59" s="136" t="s">
        <v>25</v>
      </c>
      <c r="M59" s="158" t="s">
        <v>26</v>
      </c>
      <c r="N59" s="136" t="s">
        <v>27</v>
      </c>
      <c r="O59" s="159" t="s">
        <v>28</v>
      </c>
    </row>
    <row r="60" spans="2:15" x14ac:dyDescent="0.3">
      <c r="B60" s="135"/>
      <c r="C60" s="156" t="s">
        <v>18</v>
      </c>
      <c r="D60" s="160">
        <f>'Fleet Data Input and Reports '!D72</f>
        <v>29</v>
      </c>
      <c r="E60" s="160">
        <f>'Fleet Data Input and Reports '!E72</f>
        <v>28.5</v>
      </c>
      <c r="F60" s="160">
        <f>'Fleet Data Input and Reports '!F72</f>
        <v>25.2</v>
      </c>
      <c r="G60" s="160">
        <f>'Fleet Data Input and Reports '!G72</f>
        <v>19.3</v>
      </c>
      <c r="H60" s="160">
        <f>'Fleet Data Input and Reports '!H72</f>
        <v>15.75</v>
      </c>
      <c r="I60" s="160">
        <f>'Fleet Data Input and Reports '!I72</f>
        <v>12.85</v>
      </c>
      <c r="J60" s="160">
        <f>'Fleet Data Input and Reports '!J72</f>
        <v>10.199999999999999</v>
      </c>
      <c r="K60" s="160">
        <f>'Fleet Data Input and Reports '!K72</f>
        <v>11</v>
      </c>
      <c r="L60" s="160">
        <f>'Fleet Data Input and Reports '!L72</f>
        <v>13.5</v>
      </c>
      <c r="M60" s="160">
        <f>'Fleet Data Input and Reports '!M72</f>
        <v>19.8</v>
      </c>
      <c r="N60" s="160">
        <f>'Fleet Data Input and Reports '!N72</f>
        <v>19.399999999999999</v>
      </c>
      <c r="O60" s="160">
        <f>'Fleet Data Input and Reports '!O72</f>
        <v>12.95</v>
      </c>
    </row>
    <row r="61" spans="2:15" x14ac:dyDescent="0.3">
      <c r="B61" s="135"/>
      <c r="C61" s="156" t="s">
        <v>29</v>
      </c>
      <c r="D61" s="160">
        <f>'Fleet Data Input and Reports '!D73</f>
        <v>27.5</v>
      </c>
      <c r="E61" s="160">
        <f>'Fleet Data Input and Reports '!E73</f>
        <v>27</v>
      </c>
      <c r="F61" s="160">
        <f>'Fleet Data Input and Reports '!F73</f>
        <v>24.8</v>
      </c>
      <c r="G61" s="160">
        <f>'Fleet Data Input and Reports '!G73</f>
        <v>18.100000000000001</v>
      </c>
      <c r="H61" s="160">
        <f>'Fleet Data Input and Reports '!H73</f>
        <v>14.9</v>
      </c>
      <c r="I61" s="160">
        <f>'Fleet Data Input and Reports '!I73</f>
        <v>12.2</v>
      </c>
      <c r="J61" s="160">
        <f>'Fleet Data Input and Reports '!J73</f>
        <v>8.5</v>
      </c>
      <c r="K61" s="160">
        <f>'Fleet Data Input and Reports '!K73</f>
        <v>10</v>
      </c>
      <c r="L61" s="160">
        <f>'Fleet Data Input and Reports '!L73</f>
        <v>12.9</v>
      </c>
      <c r="M61" s="160">
        <f>'Fleet Data Input and Reports '!M73</f>
        <v>18.899999999999999</v>
      </c>
      <c r="N61" s="160">
        <f>'Fleet Data Input and Reports '!N73</f>
        <v>19</v>
      </c>
      <c r="O61" s="160">
        <f>'Fleet Data Input and Reports '!O73</f>
        <v>12.1</v>
      </c>
    </row>
    <row r="62" spans="2:15" ht="17.25" thickBot="1" x14ac:dyDescent="0.35">
      <c r="B62" s="87"/>
      <c r="C62" s="143"/>
      <c r="D62" s="143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49"/>
    </row>
    <row r="63" spans="2:15" x14ac:dyDescent="0.3">
      <c r="B63" s="41" t="s">
        <v>180</v>
      </c>
      <c r="C63" s="179" t="s">
        <v>103</v>
      </c>
      <c r="D63" s="170" t="s">
        <v>19</v>
      </c>
      <c r="E63" s="170" t="s">
        <v>20</v>
      </c>
      <c r="F63" s="170" t="s">
        <v>82</v>
      </c>
      <c r="G63" s="171" t="s">
        <v>21</v>
      </c>
      <c r="H63" s="170" t="s">
        <v>22</v>
      </c>
      <c r="I63" s="170" t="s">
        <v>83</v>
      </c>
      <c r="J63" s="170" t="s">
        <v>23</v>
      </c>
      <c r="K63" s="170" t="s">
        <v>24</v>
      </c>
      <c r="L63" s="170" t="s">
        <v>25</v>
      </c>
      <c r="M63" s="171" t="s">
        <v>26</v>
      </c>
      <c r="N63" s="170" t="s">
        <v>27</v>
      </c>
      <c r="O63" s="172" t="s">
        <v>28</v>
      </c>
    </row>
    <row r="64" spans="2:15" x14ac:dyDescent="0.3">
      <c r="B64" s="180" t="s">
        <v>167</v>
      </c>
      <c r="C64" s="163">
        <f>SUM(D64:O64)</f>
        <v>22969.5</v>
      </c>
      <c r="D64" s="70">
        <f t="shared" ref="D64:O64" si="8">D55*D27</f>
        <v>1450</v>
      </c>
      <c r="E64" s="70">
        <f t="shared" si="8"/>
        <v>2850</v>
      </c>
      <c r="F64" s="70">
        <f t="shared" si="8"/>
        <v>3906.0000000000005</v>
      </c>
      <c r="G64" s="70">
        <f t="shared" si="8"/>
        <v>9698.25</v>
      </c>
      <c r="H64" s="70">
        <f t="shared" si="8"/>
        <v>3071.25</v>
      </c>
      <c r="I64" s="70">
        <f t="shared" si="8"/>
        <v>257</v>
      </c>
      <c r="J64" s="70">
        <f t="shared" si="8"/>
        <v>204</v>
      </c>
      <c r="K64" s="70">
        <f t="shared" si="8"/>
        <v>220</v>
      </c>
      <c r="L64" s="70">
        <f t="shared" si="8"/>
        <v>270</v>
      </c>
      <c r="M64" s="70">
        <f t="shared" si="8"/>
        <v>396</v>
      </c>
      <c r="N64" s="70">
        <f t="shared" si="8"/>
        <v>388</v>
      </c>
      <c r="O64" s="181">
        <f t="shared" si="8"/>
        <v>259</v>
      </c>
    </row>
    <row r="65" spans="1:15" x14ac:dyDescent="0.3">
      <c r="B65" s="182" t="s">
        <v>164</v>
      </c>
      <c r="C65" s="163">
        <f>SUM(D65:O65)</f>
        <v>18544.75</v>
      </c>
      <c r="D65" s="70">
        <f t="shared" ref="D65:O65" si="9">D56*D28</f>
        <v>0</v>
      </c>
      <c r="E65" s="70">
        <f t="shared" si="9"/>
        <v>2700</v>
      </c>
      <c r="F65" s="70">
        <f t="shared" si="9"/>
        <v>3844.0000000000009</v>
      </c>
      <c r="G65" s="70">
        <f t="shared" si="9"/>
        <v>9095.25</v>
      </c>
      <c r="H65" s="70">
        <f t="shared" si="9"/>
        <v>2905.5</v>
      </c>
      <c r="I65" s="70">
        <f t="shared" si="9"/>
        <v>0</v>
      </c>
      <c r="J65" s="70">
        <f t="shared" si="9"/>
        <v>0</v>
      </c>
      <c r="K65" s="70">
        <f t="shared" si="9"/>
        <v>0</v>
      </c>
      <c r="L65" s="70">
        <f t="shared" si="9"/>
        <v>0</v>
      </c>
      <c r="M65" s="70">
        <f t="shared" si="9"/>
        <v>0</v>
      </c>
      <c r="N65" s="70">
        <f t="shared" si="9"/>
        <v>0</v>
      </c>
      <c r="O65" s="181">
        <f t="shared" si="9"/>
        <v>0</v>
      </c>
    </row>
    <row r="66" spans="1:15" ht="17.25" thickBot="1" x14ac:dyDescent="0.35">
      <c r="B66" s="183" t="s">
        <v>165</v>
      </c>
      <c r="C66" s="184">
        <f>SUM(D66:O66)</f>
        <v>0</v>
      </c>
      <c r="D66" s="185">
        <f t="shared" ref="D66:O66" si="10">D57*D29</f>
        <v>0</v>
      </c>
      <c r="E66" s="185">
        <f t="shared" si="10"/>
        <v>0</v>
      </c>
      <c r="F66" s="185">
        <f t="shared" si="10"/>
        <v>0</v>
      </c>
      <c r="G66" s="185">
        <f t="shared" si="10"/>
        <v>0</v>
      </c>
      <c r="H66" s="185">
        <f t="shared" si="10"/>
        <v>0</v>
      </c>
      <c r="I66" s="185">
        <f t="shared" si="10"/>
        <v>0</v>
      </c>
      <c r="J66" s="185">
        <f t="shared" si="10"/>
        <v>0</v>
      </c>
      <c r="K66" s="185">
        <f t="shared" si="10"/>
        <v>0</v>
      </c>
      <c r="L66" s="185">
        <f t="shared" si="10"/>
        <v>0</v>
      </c>
      <c r="M66" s="185">
        <f t="shared" si="10"/>
        <v>0</v>
      </c>
      <c r="N66" s="185">
        <f t="shared" si="10"/>
        <v>0</v>
      </c>
      <c r="O66" s="186">
        <f t="shared" si="10"/>
        <v>0</v>
      </c>
    </row>
    <row r="67" spans="1:15" ht="17.25" thickBot="1" x14ac:dyDescent="0.35">
      <c r="B67" s="44"/>
      <c r="C67" s="90" t="s">
        <v>166</v>
      </c>
      <c r="D67" s="90"/>
      <c r="E67" s="1"/>
      <c r="F67" s="1"/>
      <c r="G67" s="1"/>
      <c r="H67" s="1"/>
      <c r="I67" s="1"/>
      <c r="J67" s="1"/>
      <c r="K67" s="1"/>
      <c r="L67" s="1"/>
      <c r="M67" s="1"/>
      <c r="N67" s="1"/>
      <c r="O67" s="45"/>
    </row>
    <row r="68" spans="1:15" ht="17.25" thickBot="1" x14ac:dyDescent="0.35">
      <c r="B68" s="187" t="s">
        <v>181</v>
      </c>
      <c r="C68" s="188">
        <f>SUM(D68:O68)</f>
        <v>41514.25</v>
      </c>
      <c r="D68" s="188">
        <f>SUM(D64:D67)</f>
        <v>1450</v>
      </c>
      <c r="E68" s="188">
        <f t="shared" ref="E68" si="11">SUM(E64:E67)</f>
        <v>5550</v>
      </c>
      <c r="F68" s="188">
        <f t="shared" ref="F68" si="12">SUM(F64:F67)</f>
        <v>7750.0000000000018</v>
      </c>
      <c r="G68" s="188">
        <f t="shared" ref="G68" si="13">SUM(G64:G67)</f>
        <v>18793.5</v>
      </c>
      <c r="H68" s="188">
        <f t="shared" ref="H68" si="14">SUM(H64:H67)</f>
        <v>5976.75</v>
      </c>
      <c r="I68" s="188">
        <f t="shared" ref="I68" si="15">SUM(I64:I67)</f>
        <v>257</v>
      </c>
      <c r="J68" s="188">
        <f t="shared" ref="J68" si="16">SUM(J64:J67)</f>
        <v>204</v>
      </c>
      <c r="K68" s="188">
        <f t="shared" ref="K68" si="17">SUM(K64:K67)</f>
        <v>220</v>
      </c>
      <c r="L68" s="188">
        <f t="shared" ref="L68" si="18">SUM(L64:L67)</f>
        <v>270</v>
      </c>
      <c r="M68" s="188">
        <f t="shared" ref="M68" si="19">SUM(M64:M67)</f>
        <v>396</v>
      </c>
      <c r="N68" s="188">
        <f t="shared" ref="N68" si="20">SUM(N64:N67)</f>
        <v>388</v>
      </c>
      <c r="O68" s="189">
        <f t="shared" ref="O68" si="21">SUM(O64:O67)</f>
        <v>259</v>
      </c>
    </row>
    <row r="69" spans="1:15" ht="17.25" thickBot="1" x14ac:dyDescent="0.35">
      <c r="B69" s="190" t="s">
        <v>184</v>
      </c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</row>
    <row r="70" spans="1:15" ht="17.25" thickBot="1" x14ac:dyDescent="0.35">
      <c r="B70" s="195" t="s">
        <v>186</v>
      </c>
      <c r="C70" s="191">
        <f>SUM(D70:O70)</f>
        <v>39975</v>
      </c>
      <c r="D70" s="191">
        <f>D37*D55</f>
        <v>2900</v>
      </c>
      <c r="E70" s="191">
        <f t="shared" ref="E70:O70" si="22">E37*E55</f>
        <v>5700</v>
      </c>
      <c r="F70" s="191">
        <f t="shared" si="22"/>
        <v>7560</v>
      </c>
      <c r="G70" s="191">
        <f t="shared" si="22"/>
        <v>7720</v>
      </c>
      <c r="H70" s="191">
        <f t="shared" si="22"/>
        <v>7875</v>
      </c>
      <c r="I70" s="191">
        <f t="shared" si="22"/>
        <v>7710</v>
      </c>
      <c r="J70" s="191">
        <f t="shared" si="22"/>
        <v>509.99999999999994</v>
      </c>
      <c r="K70" s="191">
        <f t="shared" si="22"/>
        <v>0</v>
      </c>
      <c r="L70" s="191">
        <f t="shared" si="22"/>
        <v>0</v>
      </c>
      <c r="M70" s="191">
        <f t="shared" si="22"/>
        <v>0</v>
      </c>
      <c r="N70" s="191">
        <f t="shared" si="22"/>
        <v>0</v>
      </c>
      <c r="O70" s="196">
        <f t="shared" si="22"/>
        <v>0</v>
      </c>
    </row>
    <row r="71" spans="1:15" ht="17.25" thickBot="1" x14ac:dyDescent="0.35">
      <c r="B71" s="3"/>
      <c r="C71" s="90"/>
      <c r="D71" s="90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7.25" thickBot="1" x14ac:dyDescent="0.35">
      <c r="B72" s="187" t="s">
        <v>182</v>
      </c>
      <c r="C72" s="188">
        <f>SUM(D72:O72)</f>
        <v>81489.25</v>
      </c>
      <c r="D72" s="193">
        <f t="shared" ref="D72:O72" si="23">+D70+D68</f>
        <v>4350</v>
      </c>
      <c r="E72" s="193">
        <f t="shared" si="23"/>
        <v>11250</v>
      </c>
      <c r="F72" s="193">
        <f t="shared" si="23"/>
        <v>15310.000000000002</v>
      </c>
      <c r="G72" s="193">
        <f t="shared" si="23"/>
        <v>26513.5</v>
      </c>
      <c r="H72" s="193">
        <f t="shared" si="23"/>
        <v>13851.75</v>
      </c>
      <c r="I72" s="193">
        <f t="shared" si="23"/>
        <v>7967</v>
      </c>
      <c r="J72" s="193">
        <f t="shared" si="23"/>
        <v>714</v>
      </c>
      <c r="K72" s="193">
        <f t="shared" si="23"/>
        <v>220</v>
      </c>
      <c r="L72" s="193">
        <f t="shared" si="23"/>
        <v>270</v>
      </c>
      <c r="M72" s="193">
        <f t="shared" si="23"/>
        <v>396</v>
      </c>
      <c r="N72" s="193">
        <f t="shared" si="23"/>
        <v>388</v>
      </c>
      <c r="O72" s="194">
        <f t="shared" si="23"/>
        <v>259</v>
      </c>
    </row>
    <row r="73" spans="1:15" x14ac:dyDescent="0.3">
      <c r="B73" s="1"/>
      <c r="C73" s="1"/>
      <c r="D73" s="1"/>
      <c r="E73" s="1"/>
      <c r="F73" s="1"/>
      <c r="G73" s="1"/>
    </row>
    <row r="74" spans="1:15" ht="17.25" thickBot="1" x14ac:dyDescent="0.35">
      <c r="B74" s="118" t="s">
        <v>187</v>
      </c>
      <c r="C74" s="92"/>
      <c r="D74" s="1"/>
      <c r="E74" s="1"/>
      <c r="F74" s="1"/>
      <c r="G74" s="1"/>
    </row>
    <row r="75" spans="1:15" x14ac:dyDescent="0.3">
      <c r="B75" s="124" t="s">
        <v>132</v>
      </c>
      <c r="C75" s="94"/>
      <c r="D75" s="236" t="s">
        <v>163</v>
      </c>
      <c r="E75" s="109" t="s">
        <v>108</v>
      </c>
      <c r="F75" s="236" t="s">
        <v>164</v>
      </c>
      <c r="G75" s="95" t="s">
        <v>108</v>
      </c>
      <c r="H75" s="199" t="s">
        <v>166</v>
      </c>
      <c r="I75" s="237" t="s">
        <v>188</v>
      </c>
      <c r="J75" s="95" t="s">
        <v>191</v>
      </c>
      <c r="K75" s="200" t="s">
        <v>108</v>
      </c>
    </row>
    <row r="76" spans="1:15" x14ac:dyDescent="0.3">
      <c r="B76" s="3" t="s">
        <v>192</v>
      </c>
      <c r="C76" s="210"/>
      <c r="D76" s="212">
        <f>C27</f>
        <v>1142.5</v>
      </c>
      <c r="E76" s="25"/>
      <c r="F76" s="212">
        <f>C28</f>
        <v>952.5</v>
      </c>
      <c r="G76" s="25"/>
      <c r="H76" s="221"/>
      <c r="I76" s="221">
        <f>F76+D76</f>
        <v>2095</v>
      </c>
      <c r="J76" s="223">
        <f>I76/C$32</f>
        <v>1047.5</v>
      </c>
      <c r="K76" s="222"/>
    </row>
    <row r="77" spans="1:15" x14ac:dyDescent="0.3">
      <c r="B77" s="3" t="s">
        <v>17</v>
      </c>
      <c r="C77" s="210"/>
      <c r="D77" s="225">
        <f>C64/D76</f>
        <v>20.104595185995624</v>
      </c>
      <c r="E77" s="25"/>
      <c r="F77" s="225">
        <f>C65/F76</f>
        <v>19.469553805774279</v>
      </c>
      <c r="G77" s="25"/>
      <c r="H77" s="221"/>
      <c r="I77" s="228">
        <f>C68/I76</f>
        <v>19.815871121718377</v>
      </c>
      <c r="J77" s="226">
        <f>I77</f>
        <v>19.815871121718377</v>
      </c>
      <c r="K77" s="222"/>
    </row>
    <row r="78" spans="1:15" x14ac:dyDescent="0.3">
      <c r="A78">
        <v>1</v>
      </c>
      <c r="B78" s="124" t="s">
        <v>194</v>
      </c>
      <c r="C78" s="89"/>
      <c r="D78" s="98">
        <f>+D77*D76</f>
        <v>22969.5</v>
      </c>
      <c r="E78" s="198">
        <f>D77</f>
        <v>20.104595185995624</v>
      </c>
      <c r="F78" s="98">
        <f>+F77*F76</f>
        <v>18544.75</v>
      </c>
      <c r="G78" s="198">
        <f>F77</f>
        <v>19.469553805774279</v>
      </c>
      <c r="H78" s="149"/>
      <c r="I78" s="229">
        <f>D78+F78</f>
        <v>41514.25</v>
      </c>
      <c r="J78" s="163">
        <f>I78/C$32</f>
        <v>20757.125</v>
      </c>
      <c r="K78" s="201">
        <f>I78/C$31</f>
        <v>19.815871121718377</v>
      </c>
    </row>
    <row r="79" spans="1:15" x14ac:dyDescent="0.3">
      <c r="B79" s="124" t="s">
        <v>12</v>
      </c>
      <c r="C79" s="7"/>
      <c r="D79" s="1"/>
      <c r="E79" s="1"/>
      <c r="F79" s="1"/>
      <c r="G79" s="1"/>
      <c r="H79" s="149"/>
      <c r="I79" s="149"/>
      <c r="J79" t="s">
        <v>85</v>
      </c>
      <c r="K79" s="151"/>
    </row>
    <row r="80" spans="1:15" x14ac:dyDescent="0.3">
      <c r="B80" s="3" t="s">
        <v>41</v>
      </c>
      <c r="C80" s="317"/>
      <c r="D80" s="357">
        <f>((('Fleet Data Input and Reports '!$H37*'Survey Shots Data and Results '!$G12)/'Survey Shots Data and Results '!$F5)+(('Fleet Data Input and Reports '!$H37*'Survey Shots Data and Results '!$G14)/'Survey Shots Data and Results '!$F5))+('Fleet Data Input and Reports '!$H35+('Fleet Data Input and Reports '!$H36/'Survey Shots Data and Results '!$F5))</f>
        <v>190.26431587837837</v>
      </c>
      <c r="E80" s="355">
        <f>D80/$C$27</f>
        <v>0.16653331805547342</v>
      </c>
      <c r="F80" s="354">
        <f>(('Fleet Data Input and Reports '!$H37*'Survey Shots Data and Results '!$G12)/'Survey Shots Data and Results '!$F5)+(('Fleet Data Input and Reports '!$H37*'Survey Shots Data and Results '!$G14)/'Survey Shots Data and Results '!$F5)</f>
        <v>90.229940878378372</v>
      </c>
      <c r="G80" s="355">
        <f>F80/$C$28</f>
        <v>9.4729596722706949E-2</v>
      </c>
      <c r="H80" s="149"/>
      <c r="I80" s="229">
        <f t="shared" ref="I80:I88" si="24">D80+F80</f>
        <v>280.49425675675673</v>
      </c>
      <c r="J80" s="224">
        <f>I80/C$32</f>
        <v>140.24712837837836</v>
      </c>
      <c r="K80" s="201">
        <f t="shared" ref="K80:K88" si="25">I80/C$31</f>
        <v>0.13388747339224666</v>
      </c>
    </row>
    <row r="81" spans="1:12" x14ac:dyDescent="0.3">
      <c r="B81" s="3" t="s">
        <v>84</v>
      </c>
      <c r="C81" s="90"/>
      <c r="D81" s="359">
        <f>(('Fleet Data Input and Reports '!$I37*'Survey Shots Data and Results '!$G12+'Survey Shots Data and Results '!$G14)/'Survey Shots Data and Results '!$F5)+(('Fleet Data Input and Reports '!$I35*'Fleet Data Input and Reports '!$F35)+(('Fleet Data Input and Reports '!$I36*'Fleet Data Input and Reports '!$F36)/'Survey Shots Data and Results '!$F5))</f>
        <v>114.0929054054054</v>
      </c>
      <c r="E81" s="198">
        <f t="shared" ref="E81:E88" si="26">D81/C$27</f>
        <v>9.9862499260748708E-2</v>
      </c>
      <c r="F81" s="98">
        <f>('Fleet Data Input and Reports '!$I37*'Survey Shots Data and Results '!$G12+'Survey Shots Data and Results '!$G14)/'Survey Shots Data and Results '!$F5</f>
        <v>36.592905405405403</v>
      </c>
      <c r="G81" s="198">
        <f t="shared" ref="G81:G88" si="27">F81/$C$28</f>
        <v>3.8417748457118532E-2</v>
      </c>
      <c r="H81" s="149"/>
      <c r="I81" s="229"/>
      <c r="J81" s="224"/>
      <c r="K81" s="201"/>
    </row>
    <row r="82" spans="1:12" x14ac:dyDescent="0.3">
      <c r="B82" s="8" t="s">
        <v>42</v>
      </c>
      <c r="C82" s="90"/>
      <c r="D82" s="98">
        <f>'Fleet Data Input and Reports '!$D117</f>
        <v>15.464460784313726</v>
      </c>
      <c r="E82" s="198">
        <f t="shared" si="26"/>
        <v>1.3535633071609389E-2</v>
      </c>
      <c r="F82" s="98">
        <f>'Fleet Data Input and Reports '!$D117</f>
        <v>15.464460784313726</v>
      </c>
      <c r="G82" s="198">
        <f t="shared" si="27"/>
        <v>1.6235654366733569E-2</v>
      </c>
      <c r="H82" s="149"/>
      <c r="I82" s="229">
        <f t="shared" si="24"/>
        <v>30.928921568627452</v>
      </c>
      <c r="J82" s="224">
        <f t="shared" ref="J82:J88" si="28">I82/C$32</f>
        <v>15.464460784313726</v>
      </c>
      <c r="K82" s="201">
        <f t="shared" si="25"/>
        <v>1.4763208385979691E-2</v>
      </c>
    </row>
    <row r="83" spans="1:12" x14ac:dyDescent="0.3">
      <c r="B83" s="3" t="s">
        <v>43</v>
      </c>
      <c r="C83" s="90"/>
      <c r="D83" s="98">
        <f>'Fleet Data Input and Reports '!$D118</f>
        <v>22.069894547325106</v>
      </c>
      <c r="E83" s="198">
        <f t="shared" si="26"/>
        <v>1.9317194352144514E-2</v>
      </c>
      <c r="F83" s="98">
        <f>'Fleet Data Input and Reports '!$D118</f>
        <v>22.069894547325106</v>
      </c>
      <c r="G83" s="198">
        <f t="shared" si="27"/>
        <v>2.3170492963070978E-2</v>
      </c>
      <c r="H83" s="149"/>
      <c r="I83" s="229">
        <f t="shared" si="24"/>
        <v>44.139789094650212</v>
      </c>
      <c r="J83" s="224">
        <f t="shared" si="28"/>
        <v>22.069894547325106</v>
      </c>
      <c r="K83" s="201">
        <f t="shared" si="25"/>
        <v>2.1069111739689839E-2</v>
      </c>
    </row>
    <row r="84" spans="1:12" x14ac:dyDescent="0.3">
      <c r="B84" s="3" t="s">
        <v>46</v>
      </c>
      <c r="C84" s="90"/>
      <c r="D84" s="98">
        <f>'Fleet Data Input and Reports '!$D119</f>
        <v>1.9731753812636168</v>
      </c>
      <c r="E84" s="198">
        <f t="shared" si="26"/>
        <v>1.7270681674079796E-3</v>
      </c>
      <c r="F84" s="98">
        <f>'Fleet Data Input and Reports '!$D119</f>
        <v>1.9731753812636168</v>
      </c>
      <c r="G84" s="198">
        <f t="shared" si="27"/>
        <v>2.0715752034263695E-3</v>
      </c>
      <c r="H84" s="149"/>
      <c r="I84" s="229">
        <f t="shared" si="24"/>
        <v>3.9463507625272336</v>
      </c>
      <c r="J84" s="224">
        <f t="shared" si="28"/>
        <v>1.9731753812636168</v>
      </c>
      <c r="K84" s="201">
        <f t="shared" si="25"/>
        <v>1.8836996479843597E-3</v>
      </c>
    </row>
    <row r="85" spans="1:12" x14ac:dyDescent="0.3">
      <c r="B85" s="3" t="s">
        <v>102</v>
      </c>
      <c r="C85" s="90"/>
      <c r="D85" s="98">
        <f>'Fleet Data Input and Reports '!$D120</f>
        <v>0</v>
      </c>
      <c r="E85" s="198">
        <f t="shared" si="26"/>
        <v>0</v>
      </c>
      <c r="F85" s="98">
        <f>'Fleet Data Input and Reports '!$D120</f>
        <v>0</v>
      </c>
      <c r="G85" s="198">
        <f t="shared" si="27"/>
        <v>0</v>
      </c>
      <c r="H85" s="149"/>
      <c r="I85" s="229">
        <f t="shared" si="24"/>
        <v>0</v>
      </c>
      <c r="J85" s="224">
        <f t="shared" si="28"/>
        <v>0</v>
      </c>
      <c r="K85" s="201">
        <f t="shared" si="25"/>
        <v>0</v>
      </c>
    </row>
    <row r="86" spans="1:12" x14ac:dyDescent="0.3">
      <c r="B86" s="3" t="s">
        <v>8</v>
      </c>
      <c r="C86" s="318"/>
      <c r="D86" s="98">
        <f>$C27/'Fleet Data Input and Reports '!$D25*'Fleet Data Input and Reports '!$E25</f>
        <v>331.32499999999999</v>
      </c>
      <c r="E86" s="198">
        <f t="shared" si="26"/>
        <v>0.28999999999999998</v>
      </c>
      <c r="F86" s="98">
        <f>$C28/'Fleet Data Input and Reports '!$D25*'Fleet Data Input and Reports '!$E25</f>
        <v>276.22499999999997</v>
      </c>
      <c r="G86" s="198">
        <f t="shared" si="27"/>
        <v>0.28999999999999998</v>
      </c>
      <c r="H86" s="149"/>
      <c r="I86" s="229">
        <f t="shared" si="24"/>
        <v>607.54999999999995</v>
      </c>
      <c r="J86" s="224">
        <f t="shared" si="28"/>
        <v>303.77499999999998</v>
      </c>
      <c r="K86" s="201">
        <f t="shared" si="25"/>
        <v>0.28999999999999998</v>
      </c>
    </row>
    <row r="87" spans="1:12" x14ac:dyDescent="0.3">
      <c r="B87" s="3" t="s">
        <v>44</v>
      </c>
      <c r="C87" s="318"/>
      <c r="D87" s="98">
        <f>D78*('Fleet Data Input and Reports '!$E29+'Fleet Data Input and Reports '!$E30)</f>
        <v>7896.4763975105852</v>
      </c>
      <c r="E87" s="198">
        <f t="shared" si="26"/>
        <v>6.9115767155453698</v>
      </c>
      <c r="F87" s="98">
        <f>F78*('Fleet Data Input and Reports '!$E29+'Fleet Data Input and Reports '!$E30)</f>
        <v>6375.3316647177526</v>
      </c>
      <c r="G87" s="198">
        <f t="shared" si="27"/>
        <v>6.693261590254858</v>
      </c>
      <c r="H87" s="149"/>
      <c r="I87" s="229">
        <f t="shared" si="24"/>
        <v>14271.808062228338</v>
      </c>
      <c r="J87" s="224">
        <f t="shared" si="28"/>
        <v>7135.9040311141689</v>
      </c>
      <c r="K87" s="201">
        <f t="shared" si="25"/>
        <v>6.8123188841185387</v>
      </c>
    </row>
    <row r="88" spans="1:12" ht="17.25" thickBot="1" x14ac:dyDescent="0.35">
      <c r="B88" s="8" t="s">
        <v>87</v>
      </c>
      <c r="C88" s="318"/>
      <c r="D88" s="98">
        <f>D78*'Fleet Data Input and Reports '!$E31</f>
        <v>187.94890301917104</v>
      </c>
      <c r="E88" s="198">
        <f t="shared" si="26"/>
        <v>0.16450669848505123</v>
      </c>
      <c r="F88" s="98">
        <f>F78*'Fleet Data Input and Reports '!$E31</f>
        <v>151.74319942814481</v>
      </c>
      <c r="G88" s="198">
        <f t="shared" si="27"/>
        <v>0.15931044559385282</v>
      </c>
      <c r="H88" s="149"/>
      <c r="I88" s="229">
        <f t="shared" si="24"/>
        <v>339.69210244731585</v>
      </c>
      <c r="J88" s="224">
        <f t="shared" si="28"/>
        <v>169.84605122365792</v>
      </c>
      <c r="K88" s="201">
        <f t="shared" si="25"/>
        <v>0.16214420164549681</v>
      </c>
    </row>
    <row r="89" spans="1:12" s="209" customFormat="1" ht="17.25" thickBot="1" x14ac:dyDescent="0.35">
      <c r="A89" s="204">
        <v>3</v>
      </c>
      <c r="B89" s="205" t="s">
        <v>48</v>
      </c>
      <c r="C89" s="319"/>
      <c r="D89" s="207">
        <f>SUM(D80:D88)</f>
        <v>8759.615052526442</v>
      </c>
      <c r="E89" s="208">
        <f>SUM(E80:E88)</f>
        <v>7.6670591269378052</v>
      </c>
      <c r="F89" s="207">
        <f>SUM(F80:F88)</f>
        <v>6969.6302411425841</v>
      </c>
      <c r="G89" s="208">
        <f>SUM(G80:G88)</f>
        <v>7.3171971035617673</v>
      </c>
      <c r="H89" s="204"/>
      <c r="I89" s="230">
        <f>SUM(I80:I88)</f>
        <v>15578.559482858214</v>
      </c>
      <c r="J89" s="207">
        <f>SUM(J80:J88)</f>
        <v>7789.2797414291072</v>
      </c>
      <c r="K89" s="231">
        <f>SUM(K80:K88)</f>
        <v>7.4360665789299354</v>
      </c>
      <c r="L89" s="209" t="s">
        <v>85</v>
      </c>
    </row>
    <row r="90" spans="1:12" ht="17.25" thickBot="1" x14ac:dyDescent="0.35">
      <c r="B90" s="313" t="s">
        <v>190</v>
      </c>
      <c r="C90" s="320"/>
      <c r="D90" s="314">
        <f>D78-D89</f>
        <v>14209.884947473558</v>
      </c>
      <c r="E90" s="315">
        <f>E78-E89</f>
        <v>12.43753605905782</v>
      </c>
      <c r="F90" s="314">
        <f>F78-F89</f>
        <v>11575.119758857416</v>
      </c>
      <c r="G90" s="316">
        <f>G78-G89</f>
        <v>12.152356702212511</v>
      </c>
      <c r="H90" s="153"/>
      <c r="I90" s="232">
        <f>I78-I89</f>
        <v>25935.690517141786</v>
      </c>
      <c r="J90" s="233">
        <f>J78-J89</f>
        <v>12967.845258570893</v>
      </c>
      <c r="K90" s="234">
        <f>K78-K89</f>
        <v>12.379804542788442</v>
      </c>
    </row>
    <row r="91" spans="1:12" ht="17.25" thickBot="1" x14ac:dyDescent="0.35">
      <c r="B91" s="165"/>
      <c r="C91" s="153"/>
      <c r="D91" s="311" t="s">
        <v>199</v>
      </c>
      <c r="E91" s="311" t="s">
        <v>199</v>
      </c>
      <c r="F91" s="311" t="s">
        <v>199</v>
      </c>
      <c r="G91" s="312" t="s">
        <v>199</v>
      </c>
    </row>
    <row r="92" spans="1:12" x14ac:dyDescent="0.3">
      <c r="B92" s="310" t="s">
        <v>198</v>
      </c>
      <c r="C92" s="147"/>
      <c r="D92" s="147"/>
      <c r="E92" s="147"/>
      <c r="F92" s="147"/>
      <c r="G92" s="148"/>
    </row>
    <row r="93" spans="1:12" ht="17.25" thickBot="1" x14ac:dyDescent="0.35">
      <c r="B93" s="165"/>
      <c r="C93" s="153"/>
      <c r="D93" s="311" t="s">
        <v>199</v>
      </c>
      <c r="E93" s="311" t="s">
        <v>199</v>
      </c>
      <c r="F93" s="311" t="s">
        <v>199</v>
      </c>
      <c r="G93" s="312" t="s">
        <v>199</v>
      </c>
    </row>
    <row r="94" spans="1:12" ht="17.25" thickBot="1" x14ac:dyDescent="0.35">
      <c r="B94" s="118" t="s">
        <v>200</v>
      </c>
    </row>
    <row r="95" spans="1:12" x14ac:dyDescent="0.3">
      <c r="B95" s="295" t="s">
        <v>132</v>
      </c>
      <c r="C95" s="147"/>
      <c r="D95" s="199" t="s">
        <v>202</v>
      </c>
      <c r="E95" s="95" t="s">
        <v>191</v>
      </c>
      <c r="F95" s="200" t="s">
        <v>108</v>
      </c>
    </row>
    <row r="96" spans="1:12" ht="33" x14ac:dyDescent="0.3">
      <c r="B96" s="296" t="s">
        <v>192</v>
      </c>
      <c r="C96" s="298"/>
      <c r="D96" s="297" t="s">
        <v>275</v>
      </c>
      <c r="E96" s="291" t="s">
        <v>239</v>
      </c>
      <c r="F96" s="293"/>
    </row>
    <row r="97" spans="2:6" x14ac:dyDescent="0.3">
      <c r="B97" s="296" t="s">
        <v>17</v>
      </c>
      <c r="C97" s="298"/>
      <c r="D97" s="292" t="s">
        <v>240</v>
      </c>
      <c r="E97" s="292" t="s">
        <v>240</v>
      </c>
      <c r="F97" s="294" t="s">
        <v>85</v>
      </c>
    </row>
    <row r="98" spans="2:6" ht="33" x14ac:dyDescent="0.3">
      <c r="B98" s="299" t="s">
        <v>194</v>
      </c>
      <c r="C98" s="298"/>
      <c r="D98" s="297" t="s">
        <v>237</v>
      </c>
      <c r="E98" s="291" t="s">
        <v>278</v>
      </c>
      <c r="F98" s="292" t="s">
        <v>240</v>
      </c>
    </row>
    <row r="99" spans="2:6" x14ac:dyDescent="0.3">
      <c r="B99" s="3"/>
      <c r="D99" s="149" t="s">
        <v>85</v>
      </c>
      <c r="F99" s="151"/>
    </row>
    <row r="100" spans="2:6" x14ac:dyDescent="0.3">
      <c r="B100" s="124" t="s">
        <v>12</v>
      </c>
      <c r="D100" s="149"/>
      <c r="F100" s="151"/>
    </row>
    <row r="101" spans="2:6" ht="33" x14ac:dyDescent="0.3">
      <c r="B101" s="3" t="s">
        <v>267</v>
      </c>
      <c r="D101" s="297" t="s">
        <v>275</v>
      </c>
      <c r="E101" s="300" t="s">
        <v>276</v>
      </c>
      <c r="F101" s="301" t="s">
        <v>241</v>
      </c>
    </row>
    <row r="102" spans="2:6" ht="33" x14ac:dyDescent="0.3">
      <c r="B102" s="3" t="s">
        <v>268</v>
      </c>
      <c r="D102" s="297" t="s">
        <v>275</v>
      </c>
      <c r="E102" s="291" t="s">
        <v>277</v>
      </c>
      <c r="F102" s="301" t="s">
        <v>242</v>
      </c>
    </row>
    <row r="103" spans="2:6" ht="33" x14ac:dyDescent="0.3">
      <c r="B103" s="3" t="s">
        <v>270</v>
      </c>
      <c r="D103" s="297" t="s">
        <v>275</v>
      </c>
      <c r="E103" s="291" t="s">
        <v>278</v>
      </c>
      <c r="F103" s="301" t="s">
        <v>243</v>
      </c>
    </row>
    <row r="104" spans="2:6" ht="27" x14ac:dyDescent="0.3">
      <c r="B104" s="3" t="s">
        <v>271</v>
      </c>
      <c r="D104" s="297" t="s">
        <v>275</v>
      </c>
      <c r="E104" s="302" t="s">
        <v>166</v>
      </c>
      <c r="F104" s="302" t="s">
        <v>166</v>
      </c>
    </row>
    <row r="105" spans="2:6" ht="27" x14ac:dyDescent="0.3">
      <c r="B105" s="8" t="s">
        <v>42</v>
      </c>
      <c r="D105" s="297" t="s">
        <v>275</v>
      </c>
      <c r="E105" s="302" t="s">
        <v>166</v>
      </c>
      <c r="F105" s="302" t="s">
        <v>166</v>
      </c>
    </row>
    <row r="106" spans="2:6" ht="27" x14ac:dyDescent="0.3">
      <c r="B106" s="3" t="s">
        <v>43</v>
      </c>
      <c r="D106" s="297" t="s">
        <v>275</v>
      </c>
      <c r="E106" s="302" t="s">
        <v>166</v>
      </c>
      <c r="F106" s="302" t="s">
        <v>166</v>
      </c>
    </row>
    <row r="107" spans="2:6" ht="27" x14ac:dyDescent="0.3">
      <c r="B107" s="3" t="s">
        <v>46</v>
      </c>
      <c r="D107" s="297" t="s">
        <v>275</v>
      </c>
      <c r="E107" s="302" t="s">
        <v>166</v>
      </c>
      <c r="F107" s="302" t="s">
        <v>166</v>
      </c>
    </row>
    <row r="108" spans="2:6" ht="27" x14ac:dyDescent="0.3">
      <c r="B108" s="3" t="s">
        <v>102</v>
      </c>
      <c r="D108" s="297" t="s">
        <v>275</v>
      </c>
      <c r="E108" s="302" t="s">
        <v>166</v>
      </c>
      <c r="F108" s="302" t="s">
        <v>166</v>
      </c>
    </row>
    <row r="109" spans="2:6" ht="27" x14ac:dyDescent="0.3">
      <c r="B109" s="3" t="s">
        <v>8</v>
      </c>
      <c r="D109" s="297" t="s">
        <v>275</v>
      </c>
      <c r="E109" s="302" t="s">
        <v>166</v>
      </c>
      <c r="F109" s="302" t="s">
        <v>166</v>
      </c>
    </row>
    <row r="110" spans="2:6" ht="27" x14ac:dyDescent="0.3">
      <c r="B110" s="3" t="s">
        <v>44</v>
      </c>
      <c r="D110" s="297" t="s">
        <v>275</v>
      </c>
      <c r="E110" s="302" t="s">
        <v>166</v>
      </c>
      <c r="F110" s="302" t="s">
        <v>166</v>
      </c>
    </row>
    <row r="111" spans="2:6" ht="27.75" thickBot="1" x14ac:dyDescent="0.35">
      <c r="B111" s="8" t="s">
        <v>87</v>
      </c>
      <c r="D111" s="297" t="s">
        <v>275</v>
      </c>
      <c r="E111" s="302" t="s">
        <v>166</v>
      </c>
      <c r="F111" s="302" t="s">
        <v>166</v>
      </c>
    </row>
    <row r="112" spans="2:6" ht="17.25" thickBot="1" x14ac:dyDescent="0.35">
      <c r="B112" s="205" t="s">
        <v>48</v>
      </c>
      <c r="D112" s="21">
        <f>SUM(D101:D111)</f>
        <v>0</v>
      </c>
      <c r="E112" s="21">
        <f>SUM(E101:E111)</f>
        <v>0</v>
      </c>
      <c r="F112" s="19">
        <f>SUM(F101:F111)</f>
        <v>0</v>
      </c>
    </row>
    <row r="113" spans="2:6" x14ac:dyDescent="0.3">
      <c r="B113" s="5"/>
      <c r="D113" s="149"/>
      <c r="F113" s="151"/>
    </row>
    <row r="114" spans="2:6" ht="17.25" thickBot="1" x14ac:dyDescent="0.35">
      <c r="B114" s="125" t="s">
        <v>190</v>
      </c>
      <c r="D114" s="232" t="e">
        <f>D98-D112</f>
        <v>#VALUE!</v>
      </c>
      <c r="E114" s="233" t="e">
        <f>E98-E112</f>
        <v>#VALUE!</v>
      </c>
      <c r="F114" s="234" t="e">
        <f>F98-F112</f>
        <v>#VALUE!</v>
      </c>
    </row>
    <row r="115" spans="2:6" ht="17.25" thickBot="1" x14ac:dyDescent="0.35"/>
    <row r="116" spans="2:6" x14ac:dyDescent="0.3">
      <c r="B116" s="71" t="s">
        <v>209</v>
      </c>
      <c r="C116" s="72"/>
    </row>
    <row r="117" spans="2:6" x14ac:dyDescent="0.3">
      <c r="B117" s="122" t="s">
        <v>136</v>
      </c>
      <c r="C117" s="75"/>
    </row>
    <row r="118" spans="2:6" x14ac:dyDescent="0.3">
      <c r="B118" s="27" t="s">
        <v>36</v>
      </c>
      <c r="C118" s="74" t="e">
        <f>#REF!*#REF!</f>
        <v>#REF!</v>
      </c>
    </row>
    <row r="119" spans="2:6" x14ac:dyDescent="0.3">
      <c r="B119" s="27" t="s">
        <v>112</v>
      </c>
      <c r="C119" s="76" t="e">
        <f>#REF!*6</f>
        <v>#REF!</v>
      </c>
    </row>
    <row r="120" spans="2:6" x14ac:dyDescent="0.3">
      <c r="B120" s="27" t="s">
        <v>114</v>
      </c>
      <c r="C120" s="76" t="e">
        <f>#REF!*#REF!*#REF!</f>
        <v>#REF!</v>
      </c>
    </row>
    <row r="121" spans="2:6" ht="17.25" thickBot="1" x14ac:dyDescent="0.35">
      <c r="B121" s="28" t="s">
        <v>111</v>
      </c>
      <c r="C121" s="77" t="e">
        <f>#REF!*#REF!*#REF!*#REF!</f>
        <v>#REF!</v>
      </c>
    </row>
    <row r="122" spans="2:6" x14ac:dyDescent="0.3">
      <c r="B122" s="123" t="s">
        <v>137</v>
      </c>
      <c r="C122" s="72"/>
    </row>
    <row r="123" spans="2:6" x14ac:dyDescent="0.3">
      <c r="B123" s="27" t="s">
        <v>110</v>
      </c>
      <c r="C123" s="73" t="e">
        <f>#REF!*1000/#REF!</f>
        <v>#REF!</v>
      </c>
    </row>
    <row r="124" spans="2:6" x14ac:dyDescent="0.3">
      <c r="B124" s="27" t="s">
        <v>115</v>
      </c>
      <c r="C124" s="74" t="e">
        <f>C123*#REF!</f>
        <v>#REF!</v>
      </c>
    </row>
    <row r="125" spans="2:6" x14ac:dyDescent="0.3">
      <c r="B125" s="27" t="s">
        <v>95</v>
      </c>
      <c r="C125" s="73" t="e">
        <f>#REF!*#REF!*#REF!</f>
        <v>#REF!</v>
      </c>
    </row>
    <row r="126" spans="2:6" x14ac:dyDescent="0.3">
      <c r="B126" s="27" t="s">
        <v>93</v>
      </c>
      <c r="C126" s="73" t="e">
        <f>#REF!*#REF!</f>
        <v>#REF!</v>
      </c>
    </row>
    <row r="127" spans="2:6" x14ac:dyDescent="0.3">
      <c r="B127" s="27" t="s">
        <v>138</v>
      </c>
      <c r="C127" s="73">
        <f>D90</f>
        <v>14209.884947473558</v>
      </c>
    </row>
    <row r="128" spans="2:6" x14ac:dyDescent="0.3">
      <c r="B128" s="27" t="s">
        <v>139</v>
      </c>
      <c r="C128" s="74">
        <f>E90</f>
        <v>12.43753605905782</v>
      </c>
    </row>
    <row r="129" spans="2:3" x14ac:dyDescent="0.3">
      <c r="B129" s="27" t="s">
        <v>140</v>
      </c>
      <c r="C129" s="74">
        <f>F90</f>
        <v>11575.119758857416</v>
      </c>
    </row>
    <row r="130" spans="2:3" x14ac:dyDescent="0.3">
      <c r="B130" s="27" t="s">
        <v>141</v>
      </c>
      <c r="C130" s="80">
        <f>G90</f>
        <v>12.152356702212511</v>
      </c>
    </row>
    <row r="131" spans="2:3" ht="17.25" thickBot="1" x14ac:dyDescent="0.35">
      <c r="B131" s="28" t="s">
        <v>142</v>
      </c>
      <c r="C131" s="105">
        <f>C90</f>
        <v>0</v>
      </c>
    </row>
    <row r="133" spans="2:3" x14ac:dyDescent="0.3">
      <c r="B133" s="1" t="s">
        <v>244</v>
      </c>
      <c r="C133" s="303" t="s">
        <v>245</v>
      </c>
    </row>
    <row r="134" spans="2:3" x14ac:dyDescent="0.3">
      <c r="C134" s="303" t="s">
        <v>246</v>
      </c>
    </row>
    <row r="135" spans="2:3" x14ac:dyDescent="0.3">
      <c r="C135" s="303" t="s">
        <v>247</v>
      </c>
    </row>
    <row r="136" spans="2:3" x14ac:dyDescent="0.3">
      <c r="C136" s="303" t="s">
        <v>248</v>
      </c>
    </row>
    <row r="137" spans="2:3" x14ac:dyDescent="0.3">
      <c r="C137" s="303" t="s">
        <v>249</v>
      </c>
    </row>
    <row r="138" spans="2:3" x14ac:dyDescent="0.3">
      <c r="C138" s="303" t="s">
        <v>250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0"/>
  <sheetViews>
    <sheetView topLeftCell="A123" zoomScale="120" zoomScaleNormal="120" workbookViewId="0">
      <selection activeCell="C2" sqref="C2"/>
    </sheetView>
  </sheetViews>
  <sheetFormatPr defaultColWidth="9" defaultRowHeight="12.75" x14ac:dyDescent="0.2"/>
  <cols>
    <col min="1" max="1" width="3.625" style="1" customWidth="1"/>
    <col min="2" max="2" width="25.75" style="1" bestFit="1" customWidth="1"/>
    <col min="3" max="3" width="16.25" style="1" customWidth="1"/>
    <col min="4" max="4" width="13.625" style="1" customWidth="1"/>
    <col min="5" max="5" width="14.875" style="1" customWidth="1"/>
    <col min="6" max="6" width="12.375" style="1" customWidth="1"/>
    <col min="7" max="8" width="9.5" style="1" bestFit="1" customWidth="1"/>
    <col min="9" max="16384" width="9" style="1"/>
  </cols>
  <sheetData>
    <row r="1" spans="1:6" x14ac:dyDescent="0.2">
      <c r="B1" s="15"/>
      <c r="C1" s="1" t="s">
        <v>133</v>
      </c>
    </row>
    <row r="2" spans="1:6" x14ac:dyDescent="0.2">
      <c r="B2" s="17"/>
      <c r="C2" s="1" t="s">
        <v>117</v>
      </c>
    </row>
    <row r="3" spans="1:6" x14ac:dyDescent="0.2">
      <c r="B3" s="144"/>
      <c r="C3" s="1" t="s">
        <v>148</v>
      </c>
    </row>
    <row r="4" spans="1:6" x14ac:dyDescent="0.2">
      <c r="B4" s="126"/>
      <c r="C4" s="1" t="s">
        <v>149</v>
      </c>
    </row>
    <row r="6" spans="1:6" ht="39" thickBot="1" x14ac:dyDescent="0.25">
      <c r="B6" s="16" t="s">
        <v>85</v>
      </c>
      <c r="C6" s="30" t="s">
        <v>218</v>
      </c>
    </row>
    <row r="7" spans="1:6" ht="13.5" thickBot="1" x14ac:dyDescent="0.25">
      <c r="B7" s="127" t="s">
        <v>146</v>
      </c>
      <c r="C7" s="69"/>
    </row>
    <row r="8" spans="1:6" x14ac:dyDescent="0.2">
      <c r="A8" s="1" t="s">
        <v>85</v>
      </c>
      <c r="B8" s="26" t="s">
        <v>116</v>
      </c>
      <c r="C8" s="50">
        <v>55</v>
      </c>
    </row>
    <row r="9" spans="1:6" x14ac:dyDescent="0.2">
      <c r="B9" s="27" t="s">
        <v>97</v>
      </c>
      <c r="C9" s="51">
        <v>16.05</v>
      </c>
    </row>
    <row r="10" spans="1:6" ht="13.5" thickBot="1" x14ac:dyDescent="0.25">
      <c r="A10" s="1" t="s">
        <v>98</v>
      </c>
      <c r="B10" s="28" t="s">
        <v>220</v>
      </c>
      <c r="C10" s="268">
        <v>1</v>
      </c>
    </row>
    <row r="11" spans="1:6" x14ac:dyDescent="0.2">
      <c r="B11" s="26" t="s">
        <v>39</v>
      </c>
      <c r="C11" s="53">
        <v>6</v>
      </c>
    </row>
    <row r="12" spans="1:6" x14ac:dyDescent="0.2">
      <c r="B12" s="27" t="s">
        <v>94</v>
      </c>
      <c r="C12" s="54">
        <v>9</v>
      </c>
    </row>
    <row r="13" spans="1:6" ht="13.5" thickBot="1" x14ac:dyDescent="0.25">
      <c r="B13" s="28" t="s">
        <v>38</v>
      </c>
      <c r="C13" s="55">
        <v>8</v>
      </c>
    </row>
    <row r="14" spans="1:6" ht="13.5" thickBot="1" x14ac:dyDescent="0.25">
      <c r="C14" s="29"/>
    </row>
    <row r="15" spans="1:6" ht="25.5" x14ac:dyDescent="0.2">
      <c r="B15" s="127" t="s">
        <v>131</v>
      </c>
      <c r="C15" s="42"/>
      <c r="D15" s="33"/>
      <c r="E15" s="33"/>
      <c r="F15" s="43"/>
    </row>
    <row r="16" spans="1:6" x14ac:dyDescent="0.2">
      <c r="B16" s="44" t="s">
        <v>41</v>
      </c>
      <c r="C16" s="56">
        <v>77161.944444444438</v>
      </c>
      <c r="F16" s="45"/>
    </row>
    <row r="17" spans="2:9" x14ac:dyDescent="0.2">
      <c r="B17" s="44" t="s">
        <v>84</v>
      </c>
      <c r="C17" s="56">
        <f>98722.954248366/2</f>
        <v>49361.477124183002</v>
      </c>
      <c r="F17" s="45"/>
    </row>
    <row r="18" spans="2:9" x14ac:dyDescent="0.2">
      <c r="B18" s="46" t="s">
        <v>42</v>
      </c>
      <c r="C18" s="56">
        <v>6680.6470588235297</v>
      </c>
      <c r="F18" s="45"/>
    </row>
    <row r="19" spans="2:9" x14ac:dyDescent="0.2">
      <c r="B19" s="44" t="s">
        <v>43</v>
      </c>
      <c r="C19" s="56">
        <v>9534.1944444444453</v>
      </c>
      <c r="F19" s="45"/>
    </row>
    <row r="20" spans="2:9" x14ac:dyDescent="0.2">
      <c r="B20" s="44" t="s">
        <v>46</v>
      </c>
      <c r="C20" s="12">
        <v>852.41176470588243</v>
      </c>
      <c r="F20" s="45"/>
    </row>
    <row r="21" spans="2:9" x14ac:dyDescent="0.2">
      <c r="B21" s="44" t="s">
        <v>130</v>
      </c>
      <c r="C21" s="12"/>
      <c r="F21" s="45"/>
    </row>
    <row r="22" spans="2:9" ht="13.5" thickBot="1" x14ac:dyDescent="0.25">
      <c r="B22" s="27" t="s">
        <v>8</v>
      </c>
      <c r="C22" s="47" t="s">
        <v>127</v>
      </c>
      <c r="D22" s="69" t="s">
        <v>123</v>
      </c>
      <c r="E22" s="57" t="s">
        <v>121</v>
      </c>
      <c r="F22" s="48" t="s">
        <v>120</v>
      </c>
    </row>
    <row r="23" spans="2:9" ht="13.5" thickBot="1" x14ac:dyDescent="0.25">
      <c r="B23" s="27" t="s">
        <v>85</v>
      </c>
      <c r="C23" s="66" t="s">
        <v>9</v>
      </c>
      <c r="D23" s="106">
        <v>3</v>
      </c>
      <c r="E23" s="62">
        <v>1.72</v>
      </c>
      <c r="F23" s="65">
        <v>0.01</v>
      </c>
    </row>
    <row r="24" spans="2:9" ht="13.5" thickBot="1" x14ac:dyDescent="0.25">
      <c r="B24" s="27"/>
      <c r="C24" s="66" t="s">
        <v>10</v>
      </c>
      <c r="D24" s="106">
        <v>5</v>
      </c>
      <c r="E24" s="62">
        <v>1.72</v>
      </c>
      <c r="F24" s="65">
        <v>0.15</v>
      </c>
    </row>
    <row r="25" spans="2:9" ht="13.5" thickBot="1" x14ac:dyDescent="0.25">
      <c r="B25" s="27"/>
      <c r="C25" s="66" t="s">
        <v>11</v>
      </c>
      <c r="D25" s="106">
        <v>10</v>
      </c>
      <c r="E25" s="62">
        <v>2.9</v>
      </c>
      <c r="F25" s="65">
        <v>0.84</v>
      </c>
    </row>
    <row r="26" spans="2:9" ht="13.5" thickBot="1" x14ac:dyDescent="0.25">
      <c r="B26" s="27"/>
      <c r="C26" s="66" t="s">
        <v>122</v>
      </c>
      <c r="D26" s="59"/>
      <c r="E26" s="63"/>
      <c r="F26" s="60" t="s">
        <v>135</v>
      </c>
    </row>
    <row r="27" spans="2:9" x14ac:dyDescent="0.2">
      <c r="B27" s="27"/>
      <c r="C27" s="23" t="s">
        <v>85</v>
      </c>
      <c r="D27" s="1" t="s">
        <v>85</v>
      </c>
      <c r="E27" s="25" t="s">
        <v>85</v>
      </c>
      <c r="F27" s="48"/>
    </row>
    <row r="28" spans="2:9" ht="26.25" thickBot="1" x14ac:dyDescent="0.25">
      <c r="B28" s="27"/>
      <c r="C28" s="25" t="s">
        <v>128</v>
      </c>
      <c r="D28" s="69" t="s">
        <v>125</v>
      </c>
      <c r="E28" s="68" t="s">
        <v>129</v>
      </c>
      <c r="F28" s="45"/>
    </row>
    <row r="29" spans="2:9" ht="13.5" thickBot="1" x14ac:dyDescent="0.25">
      <c r="B29" s="27" t="s">
        <v>7</v>
      </c>
      <c r="C29" s="66" t="s">
        <v>15</v>
      </c>
      <c r="D29" s="58" t="s">
        <v>14</v>
      </c>
      <c r="E29" s="64">
        <v>0.14455754362011336</v>
      </c>
      <c r="F29" s="45"/>
    </row>
    <row r="30" spans="2:9" ht="13.5" thickBot="1" x14ac:dyDescent="0.25">
      <c r="B30" s="27"/>
      <c r="C30" s="66" t="s">
        <v>16</v>
      </c>
      <c r="D30" s="58" t="s">
        <v>32</v>
      </c>
      <c r="E30" s="64">
        <v>0.19922340056720395</v>
      </c>
      <c r="F30" s="45"/>
      <c r="I30" s="1" t="s">
        <v>35</v>
      </c>
    </row>
    <row r="31" spans="2:9" ht="26.25" thickBot="1" x14ac:dyDescent="0.25">
      <c r="B31" s="27"/>
      <c r="C31" s="66" t="s">
        <v>34</v>
      </c>
      <c r="D31" s="61" t="s">
        <v>37</v>
      </c>
      <c r="E31" s="64">
        <v>8.1825421980962158E-3</v>
      </c>
      <c r="F31" s="45"/>
    </row>
    <row r="32" spans="2:9" x14ac:dyDescent="0.2">
      <c r="B32" s="27"/>
      <c r="C32" s="259" t="s">
        <v>124</v>
      </c>
      <c r="D32" s="260"/>
      <c r="E32" s="261"/>
      <c r="F32" s="45"/>
    </row>
    <row r="33" spans="2:6" x14ac:dyDescent="0.2">
      <c r="B33" s="27"/>
      <c r="C33" s="67"/>
      <c r="D33" s="15"/>
      <c r="E33" s="15"/>
      <c r="F33" s="45"/>
    </row>
    <row r="34" spans="2:6" x14ac:dyDescent="0.2">
      <c r="B34" s="27"/>
      <c r="C34" s="25" t="s">
        <v>214</v>
      </c>
      <c r="D34" s="47" t="s">
        <v>215</v>
      </c>
      <c r="E34" s="47" t="s">
        <v>213</v>
      </c>
      <c r="F34" s="48" t="s">
        <v>35</v>
      </c>
    </row>
    <row r="35" spans="2:6" x14ac:dyDescent="0.2">
      <c r="B35" s="27" t="s">
        <v>0</v>
      </c>
      <c r="C35" s="67" t="s">
        <v>2</v>
      </c>
      <c r="D35" s="15" t="s">
        <v>1</v>
      </c>
      <c r="E35" s="15">
        <v>70</v>
      </c>
      <c r="F35" s="264">
        <v>1.39</v>
      </c>
    </row>
    <row r="36" spans="2:6" x14ac:dyDescent="0.2">
      <c r="B36" s="27"/>
      <c r="C36" s="67" t="s">
        <v>4</v>
      </c>
      <c r="D36" s="15" t="s">
        <v>3</v>
      </c>
      <c r="E36" s="15">
        <v>75</v>
      </c>
      <c r="F36" s="80">
        <f>F35</f>
        <v>1.39</v>
      </c>
    </row>
    <row r="37" spans="2:6" x14ac:dyDescent="0.2">
      <c r="B37" s="27"/>
      <c r="C37" s="67" t="s">
        <v>6</v>
      </c>
      <c r="D37" s="15" t="s">
        <v>5</v>
      </c>
      <c r="E37" s="15">
        <v>45</v>
      </c>
      <c r="F37" s="80">
        <f>F36</f>
        <v>1.39</v>
      </c>
    </row>
    <row r="38" spans="2:6" ht="13.5" thickBot="1" x14ac:dyDescent="0.25">
      <c r="B38" s="28"/>
      <c r="C38" s="262" t="s">
        <v>216</v>
      </c>
      <c r="D38" s="263" t="s">
        <v>33</v>
      </c>
      <c r="E38" s="263"/>
      <c r="F38" s="49"/>
    </row>
    <row r="39" spans="2:6" ht="13.5" thickBot="1" x14ac:dyDescent="0.25">
      <c r="C39" s="29"/>
    </row>
    <row r="40" spans="2:6" ht="25.5" x14ac:dyDescent="0.2">
      <c r="B40" s="127" t="s">
        <v>134</v>
      </c>
      <c r="C40" s="85"/>
    </row>
    <row r="41" spans="2:6" x14ac:dyDescent="0.2">
      <c r="B41" s="44" t="s">
        <v>69</v>
      </c>
      <c r="C41" s="86">
        <v>94035.012958994179</v>
      </c>
    </row>
    <row r="42" spans="2:6" x14ac:dyDescent="0.2">
      <c r="B42" s="44" t="s">
        <v>49</v>
      </c>
      <c r="C42" s="86">
        <v>24676.823529411766</v>
      </c>
    </row>
    <row r="43" spans="2:6" x14ac:dyDescent="0.2">
      <c r="B43" s="44" t="s">
        <v>50</v>
      </c>
      <c r="C43" s="86">
        <v>18235</v>
      </c>
    </row>
    <row r="44" spans="2:6" x14ac:dyDescent="0.2">
      <c r="B44" s="44" t="s">
        <v>52</v>
      </c>
      <c r="C44" s="86">
        <v>7376.333333333333</v>
      </c>
    </row>
    <row r="45" spans="2:6" x14ac:dyDescent="0.2">
      <c r="B45" s="44" t="s">
        <v>87</v>
      </c>
      <c r="C45" s="86">
        <v>9740.5539181286567</v>
      </c>
    </row>
    <row r="46" spans="2:6" x14ac:dyDescent="0.2">
      <c r="B46" s="44" t="s">
        <v>54</v>
      </c>
      <c r="C46" s="86">
        <v>7231.666666666667</v>
      </c>
    </row>
    <row r="47" spans="2:6" x14ac:dyDescent="0.2">
      <c r="B47" s="44" t="s">
        <v>55</v>
      </c>
      <c r="C47" s="86">
        <v>3139.7222222222222</v>
      </c>
    </row>
    <row r="48" spans="2:6" x14ac:dyDescent="0.2">
      <c r="B48" s="44" t="s">
        <v>84</v>
      </c>
      <c r="C48" s="86">
        <f>98722.954248366/2</f>
        <v>49361.477124183002</v>
      </c>
    </row>
    <row r="49" spans="2:15" x14ac:dyDescent="0.2">
      <c r="B49" s="44" t="s">
        <v>56</v>
      </c>
      <c r="C49" s="86">
        <v>17502.029411764706</v>
      </c>
    </row>
    <row r="50" spans="2:15" x14ac:dyDescent="0.2">
      <c r="B50" s="44" t="s">
        <v>57</v>
      </c>
      <c r="C50" s="86">
        <v>853.61111111111109</v>
      </c>
    </row>
    <row r="51" spans="2:15" x14ac:dyDescent="0.2">
      <c r="B51" s="44" t="s">
        <v>58</v>
      </c>
      <c r="C51" s="86">
        <v>17036.016339869282</v>
      </c>
    </row>
    <row r="52" spans="2:15" ht="13.5" thickBot="1" x14ac:dyDescent="0.25">
      <c r="B52" s="87" t="s">
        <v>102</v>
      </c>
      <c r="C52" s="88"/>
    </row>
    <row r="53" spans="2:15" ht="13.5" thickBot="1" x14ac:dyDescent="0.25">
      <c r="C53" s="29"/>
    </row>
    <row r="54" spans="2:15" x14ac:dyDescent="0.2">
      <c r="B54" s="127" t="s">
        <v>74</v>
      </c>
      <c r="C54" s="85"/>
      <c r="D54" s="7"/>
    </row>
    <row r="55" spans="2:15" x14ac:dyDescent="0.2">
      <c r="B55" s="44" t="s">
        <v>76</v>
      </c>
      <c r="C55" s="86">
        <v>1465433.4470031608</v>
      </c>
      <c r="D55" s="90"/>
    </row>
    <row r="56" spans="2:15" ht="13.5" thickBot="1" x14ac:dyDescent="0.25">
      <c r="B56" s="87" t="s">
        <v>77</v>
      </c>
      <c r="C56" s="88">
        <v>3659375</v>
      </c>
      <c r="D56" s="90"/>
    </row>
    <row r="57" spans="2:15" ht="13.5" thickBot="1" x14ac:dyDescent="0.25">
      <c r="B57" s="3"/>
      <c r="C57" s="90"/>
      <c r="D57" s="90"/>
    </row>
    <row r="58" spans="2:15" x14ac:dyDescent="0.2">
      <c r="B58" s="128" t="s">
        <v>147</v>
      </c>
      <c r="C58" s="129" t="s">
        <v>143</v>
      </c>
      <c r="D58" s="129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1"/>
    </row>
    <row r="59" spans="2:15" x14ac:dyDescent="0.2">
      <c r="B59" s="132" t="s">
        <v>85</v>
      </c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4"/>
    </row>
    <row r="60" spans="2:15" x14ac:dyDescent="0.2">
      <c r="B60" s="135"/>
      <c r="C60" s="136" t="s">
        <v>92</v>
      </c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4"/>
    </row>
    <row r="61" spans="2:15" x14ac:dyDescent="0.2">
      <c r="B61" s="137" t="s">
        <v>89</v>
      </c>
      <c r="C61" s="138" t="s">
        <v>91</v>
      </c>
      <c r="D61" s="138" t="s">
        <v>19</v>
      </c>
      <c r="E61" s="138" t="s">
        <v>20</v>
      </c>
      <c r="F61" s="138" t="s">
        <v>82</v>
      </c>
      <c r="G61" s="139" t="s">
        <v>21</v>
      </c>
      <c r="H61" s="138" t="s">
        <v>22</v>
      </c>
      <c r="I61" s="138" t="s">
        <v>83</v>
      </c>
      <c r="J61" s="138" t="s">
        <v>23</v>
      </c>
      <c r="K61" s="138" t="s">
        <v>24</v>
      </c>
      <c r="L61" s="138" t="s">
        <v>25</v>
      </c>
      <c r="M61" s="139" t="s">
        <v>26</v>
      </c>
      <c r="N61" s="138" t="s">
        <v>27</v>
      </c>
      <c r="O61" s="140" t="s">
        <v>28</v>
      </c>
    </row>
    <row r="62" spans="2:15" x14ac:dyDescent="0.2">
      <c r="B62" s="135"/>
      <c r="C62" s="133" t="s">
        <v>18</v>
      </c>
      <c r="D62" s="265">
        <v>29</v>
      </c>
      <c r="E62" s="265">
        <v>28.5</v>
      </c>
      <c r="F62" s="265">
        <v>25.2</v>
      </c>
      <c r="G62" s="265">
        <v>19.3</v>
      </c>
      <c r="H62" s="265">
        <v>15.75</v>
      </c>
      <c r="I62" s="265">
        <v>12.85</v>
      </c>
      <c r="J62" s="265">
        <v>10.199999999999999</v>
      </c>
      <c r="K62" s="265">
        <v>11</v>
      </c>
      <c r="L62" s="265">
        <v>13.5</v>
      </c>
      <c r="M62" s="265">
        <v>19.8</v>
      </c>
      <c r="N62" s="265">
        <v>19.399999999999999</v>
      </c>
      <c r="O62" s="266">
        <v>12.95</v>
      </c>
    </row>
    <row r="63" spans="2:15" x14ac:dyDescent="0.2">
      <c r="B63" s="135"/>
      <c r="C63" s="133" t="s">
        <v>29</v>
      </c>
      <c r="D63" s="265">
        <v>27.5</v>
      </c>
      <c r="E63" s="265">
        <v>27</v>
      </c>
      <c r="F63" s="265">
        <v>24.8</v>
      </c>
      <c r="G63" s="265">
        <v>18.100000000000001</v>
      </c>
      <c r="H63" s="265">
        <v>14.9</v>
      </c>
      <c r="I63" s="265">
        <v>12.2</v>
      </c>
      <c r="J63" s="265">
        <v>8.5</v>
      </c>
      <c r="K63" s="265">
        <v>10</v>
      </c>
      <c r="L63" s="265">
        <v>12.9</v>
      </c>
      <c r="M63" s="265">
        <v>18.899999999999999</v>
      </c>
      <c r="N63" s="265">
        <v>19</v>
      </c>
      <c r="O63" s="266">
        <v>12.1</v>
      </c>
    </row>
    <row r="64" spans="2:15" x14ac:dyDescent="0.2">
      <c r="B64" s="135"/>
      <c r="C64" s="133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2"/>
    </row>
    <row r="65" spans="2:15" x14ac:dyDescent="0.2">
      <c r="B65" s="135"/>
      <c r="C65" s="136" t="s">
        <v>90</v>
      </c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2"/>
    </row>
    <row r="66" spans="2:15" x14ac:dyDescent="0.2">
      <c r="B66" s="137" t="s">
        <v>89</v>
      </c>
      <c r="C66" s="138" t="s">
        <v>91</v>
      </c>
      <c r="D66" s="138" t="s">
        <v>19</v>
      </c>
      <c r="E66" s="138" t="s">
        <v>20</v>
      </c>
      <c r="F66" s="138" t="s">
        <v>82</v>
      </c>
      <c r="G66" s="139" t="s">
        <v>21</v>
      </c>
      <c r="H66" s="138" t="s">
        <v>22</v>
      </c>
      <c r="I66" s="138" t="s">
        <v>83</v>
      </c>
      <c r="J66" s="138" t="s">
        <v>23</v>
      </c>
      <c r="K66" s="138" t="s">
        <v>24</v>
      </c>
      <c r="L66" s="138" t="s">
        <v>25</v>
      </c>
      <c r="M66" s="139" t="s">
        <v>26</v>
      </c>
      <c r="N66" s="138" t="s">
        <v>27</v>
      </c>
      <c r="O66" s="140" t="s">
        <v>28</v>
      </c>
    </row>
    <row r="67" spans="2:15" x14ac:dyDescent="0.2">
      <c r="B67" s="135"/>
      <c r="C67" s="133" t="s">
        <v>18</v>
      </c>
      <c r="D67" s="265">
        <v>29</v>
      </c>
      <c r="E67" s="265">
        <v>28.5</v>
      </c>
      <c r="F67" s="265">
        <v>25.2</v>
      </c>
      <c r="G67" s="265">
        <v>19.3</v>
      </c>
      <c r="H67" s="265">
        <v>15.75</v>
      </c>
      <c r="I67" s="265">
        <v>12.85</v>
      </c>
      <c r="J67" s="265">
        <v>10.199999999999999</v>
      </c>
      <c r="K67" s="265">
        <v>11</v>
      </c>
      <c r="L67" s="265">
        <v>13.5</v>
      </c>
      <c r="M67" s="265">
        <v>19.8</v>
      </c>
      <c r="N67" s="265">
        <v>19.399999999999999</v>
      </c>
      <c r="O67" s="266">
        <v>12.95</v>
      </c>
    </row>
    <row r="68" spans="2:15" x14ac:dyDescent="0.2">
      <c r="B68" s="135"/>
      <c r="C68" s="133" t="s">
        <v>29</v>
      </c>
      <c r="D68" s="265">
        <v>27.5</v>
      </c>
      <c r="E68" s="265">
        <v>27</v>
      </c>
      <c r="F68" s="265">
        <v>24.8</v>
      </c>
      <c r="G68" s="265">
        <v>18.100000000000001</v>
      </c>
      <c r="H68" s="265">
        <v>14.9</v>
      </c>
      <c r="I68" s="265">
        <v>12.2</v>
      </c>
      <c r="J68" s="265">
        <v>8.5</v>
      </c>
      <c r="K68" s="265">
        <v>10</v>
      </c>
      <c r="L68" s="265">
        <v>12.9</v>
      </c>
      <c r="M68" s="265">
        <v>18.899999999999999</v>
      </c>
      <c r="N68" s="265">
        <v>19</v>
      </c>
      <c r="O68" s="266">
        <v>12.1</v>
      </c>
    </row>
    <row r="69" spans="2:15" x14ac:dyDescent="0.2">
      <c r="B69" s="135"/>
      <c r="C69" s="133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2"/>
    </row>
    <row r="70" spans="2:15" x14ac:dyDescent="0.2">
      <c r="B70" s="135"/>
      <c r="C70" s="136" t="s">
        <v>88</v>
      </c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2"/>
    </row>
    <row r="71" spans="2:15" x14ac:dyDescent="0.2">
      <c r="B71" s="137" t="s">
        <v>89</v>
      </c>
      <c r="C71" s="138" t="s">
        <v>91</v>
      </c>
      <c r="D71" s="138" t="s">
        <v>19</v>
      </c>
      <c r="E71" s="138" t="s">
        <v>20</v>
      </c>
      <c r="F71" s="138" t="s">
        <v>82</v>
      </c>
      <c r="G71" s="139" t="s">
        <v>21</v>
      </c>
      <c r="H71" s="138" t="s">
        <v>22</v>
      </c>
      <c r="I71" s="138" t="s">
        <v>83</v>
      </c>
      <c r="J71" s="138" t="s">
        <v>23</v>
      </c>
      <c r="K71" s="138" t="s">
        <v>24</v>
      </c>
      <c r="L71" s="138" t="s">
        <v>25</v>
      </c>
      <c r="M71" s="139" t="s">
        <v>26</v>
      </c>
      <c r="N71" s="138" t="s">
        <v>27</v>
      </c>
      <c r="O71" s="140" t="s">
        <v>28</v>
      </c>
    </row>
    <row r="72" spans="2:15" x14ac:dyDescent="0.2">
      <c r="B72" s="135"/>
      <c r="C72" s="133" t="s">
        <v>18</v>
      </c>
      <c r="D72" s="265">
        <v>29</v>
      </c>
      <c r="E72" s="265">
        <v>28.5</v>
      </c>
      <c r="F72" s="265">
        <v>25.2</v>
      </c>
      <c r="G72" s="265">
        <v>19.3</v>
      </c>
      <c r="H72" s="265">
        <v>15.75</v>
      </c>
      <c r="I72" s="265">
        <v>12.85</v>
      </c>
      <c r="J72" s="265">
        <v>10.199999999999999</v>
      </c>
      <c r="K72" s="265">
        <v>11</v>
      </c>
      <c r="L72" s="265">
        <v>13.5</v>
      </c>
      <c r="M72" s="265">
        <v>19.8</v>
      </c>
      <c r="N72" s="265">
        <v>19.399999999999999</v>
      </c>
      <c r="O72" s="266">
        <v>12.95</v>
      </c>
    </row>
    <row r="73" spans="2:15" x14ac:dyDescent="0.2">
      <c r="B73" s="135"/>
      <c r="C73" s="133" t="s">
        <v>29</v>
      </c>
      <c r="D73" s="265">
        <v>27.5</v>
      </c>
      <c r="E73" s="265">
        <v>27</v>
      </c>
      <c r="F73" s="265">
        <v>24.8</v>
      </c>
      <c r="G73" s="265">
        <v>18.100000000000001</v>
      </c>
      <c r="H73" s="265">
        <v>14.9</v>
      </c>
      <c r="I73" s="265">
        <v>12.2</v>
      </c>
      <c r="J73" s="265">
        <v>8.5</v>
      </c>
      <c r="K73" s="265">
        <v>10</v>
      </c>
      <c r="L73" s="265">
        <v>12.9</v>
      </c>
      <c r="M73" s="265">
        <v>18.899999999999999</v>
      </c>
      <c r="N73" s="265">
        <v>19</v>
      </c>
      <c r="O73" s="266">
        <v>12.1</v>
      </c>
    </row>
    <row r="74" spans="2:15" ht="13.5" thickBot="1" x14ac:dyDescent="0.25">
      <c r="B74" s="87"/>
      <c r="C74" s="143"/>
      <c r="D74" s="143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49"/>
    </row>
    <row r="75" spans="2:15" ht="13.5" thickBot="1" x14ac:dyDescent="0.25">
      <c r="B75" s="3"/>
      <c r="C75" s="90"/>
      <c r="D75" s="90"/>
    </row>
    <row r="76" spans="2:15" x14ac:dyDescent="0.2">
      <c r="B76" s="32" t="s">
        <v>119</v>
      </c>
      <c r="C76" s="33" t="s">
        <v>14</v>
      </c>
      <c r="D76" s="107" t="s">
        <v>15</v>
      </c>
      <c r="E76" s="33" t="s">
        <v>105</v>
      </c>
      <c r="F76" s="78">
        <f>E29</f>
        <v>0.14455754362011336</v>
      </c>
      <c r="G76" s="81">
        <f>F76*C$99</f>
        <v>127608.17163065507</v>
      </c>
    </row>
    <row r="77" spans="2:15" x14ac:dyDescent="0.2">
      <c r="B77" s="27"/>
      <c r="C77" s="1" t="s">
        <v>32</v>
      </c>
      <c r="D77" s="23" t="s">
        <v>16</v>
      </c>
      <c r="E77" s="1" t="s">
        <v>105</v>
      </c>
      <c r="F77" s="79">
        <f>E30</f>
        <v>0.19922340056720395</v>
      </c>
      <c r="G77" s="74">
        <f>F77*C$99</f>
        <v>175864.45685069929</v>
      </c>
    </row>
    <row r="78" spans="2:15" ht="13.5" thickBot="1" x14ac:dyDescent="0.25">
      <c r="B78" s="27"/>
      <c r="C78" s="1" t="s">
        <v>37</v>
      </c>
      <c r="D78" s="23" t="s">
        <v>34</v>
      </c>
      <c r="E78" s="1" t="s">
        <v>105</v>
      </c>
      <c r="F78" s="79">
        <f>E31</f>
        <v>8.1825421980962158E-3</v>
      </c>
      <c r="G78" s="74">
        <f>F78*C$99</f>
        <v>7223.1391253694346</v>
      </c>
    </row>
    <row r="79" spans="2:15" ht="13.5" thickBot="1" x14ac:dyDescent="0.25">
      <c r="B79" s="28"/>
      <c r="C79" s="82" t="s">
        <v>103</v>
      </c>
      <c r="D79" s="59"/>
      <c r="E79" s="59"/>
      <c r="F79" s="83">
        <f>SUM(F76:F78)</f>
        <v>0.35196348638541353</v>
      </c>
      <c r="G79" s="84">
        <f>SUM(G76:G78)</f>
        <v>310695.76760672376</v>
      </c>
    </row>
    <row r="80" spans="2:15" ht="13.5" thickBot="1" x14ac:dyDescent="0.25">
      <c r="F80" s="2"/>
    </row>
    <row r="81" spans="2:7" x14ac:dyDescent="0.2">
      <c r="B81" s="32" t="s">
        <v>118</v>
      </c>
      <c r="C81" s="33"/>
      <c r="D81" s="35" t="s">
        <v>104</v>
      </c>
      <c r="E81" s="35" t="s">
        <v>99</v>
      </c>
      <c r="F81" s="35" t="s">
        <v>100</v>
      </c>
      <c r="G81" s="36" t="s">
        <v>101</v>
      </c>
    </row>
    <row r="82" spans="2:7" x14ac:dyDescent="0.2">
      <c r="B82" s="113" t="s">
        <v>9</v>
      </c>
      <c r="C82" s="1" t="s">
        <v>30</v>
      </c>
      <c r="D82" s="19">
        <f>E23</f>
        <v>1.72</v>
      </c>
      <c r="E82" s="10"/>
      <c r="F82" s="10"/>
      <c r="G82" s="37"/>
    </row>
    <row r="83" spans="2:7" x14ac:dyDescent="0.2">
      <c r="B83" s="113"/>
      <c r="C83" s="1" t="s">
        <v>31</v>
      </c>
      <c r="D83" s="31">
        <f>F23</f>
        <v>0.01</v>
      </c>
      <c r="E83" s="18">
        <f>D83*C$98</f>
        <v>550</v>
      </c>
      <c r="F83" s="18">
        <f>E83/3</f>
        <v>183.33333333333334</v>
      </c>
      <c r="G83" s="38">
        <f>F83*D82</f>
        <v>315.33333333333337</v>
      </c>
    </row>
    <row r="84" spans="2:7" x14ac:dyDescent="0.2">
      <c r="B84" s="113" t="s">
        <v>10</v>
      </c>
      <c r="C84" s="1" t="s">
        <v>30</v>
      </c>
      <c r="D84" s="19">
        <f>E24</f>
        <v>1.72</v>
      </c>
      <c r="E84" s="20"/>
      <c r="F84" s="20"/>
      <c r="G84" s="39"/>
    </row>
    <row r="85" spans="2:7" x14ac:dyDescent="0.2">
      <c r="B85" s="113"/>
      <c r="C85" s="1" t="s">
        <v>31</v>
      </c>
      <c r="D85" s="31">
        <f>F24</f>
        <v>0.15</v>
      </c>
      <c r="E85" s="18">
        <f>D85*C$98</f>
        <v>8250</v>
      </c>
      <c r="F85" s="18">
        <f>E85/5</f>
        <v>1650</v>
      </c>
      <c r="G85" s="38">
        <f>F85*D84</f>
        <v>2838</v>
      </c>
    </row>
    <row r="86" spans="2:7" x14ac:dyDescent="0.2">
      <c r="B86" s="113" t="s">
        <v>11</v>
      </c>
      <c r="C86" s="1" t="s">
        <v>30</v>
      </c>
      <c r="D86" s="19">
        <f>E25</f>
        <v>2.9</v>
      </c>
      <c r="E86" s="20"/>
      <c r="F86" s="20"/>
      <c r="G86" s="39"/>
    </row>
    <row r="87" spans="2:7" ht="13.5" thickBot="1" x14ac:dyDescent="0.25">
      <c r="B87" s="114"/>
      <c r="C87" s="34" t="s">
        <v>31</v>
      </c>
      <c r="D87" s="115">
        <f>F25</f>
        <v>0.84</v>
      </c>
      <c r="E87" s="116">
        <f>D87*C$98</f>
        <v>46200</v>
      </c>
      <c r="F87" s="116">
        <f>E87/10</f>
        <v>4620</v>
      </c>
      <c r="G87" s="117">
        <f>F87*D86</f>
        <v>13398</v>
      </c>
    </row>
    <row r="88" spans="2:7" ht="13.5" thickBot="1" x14ac:dyDescent="0.25">
      <c r="B88" s="114"/>
      <c r="C88" s="40" t="s">
        <v>103</v>
      </c>
      <c r="D88" s="108">
        <f>+D87+D85+D83</f>
        <v>1</v>
      </c>
      <c r="E88" s="111">
        <f>SUM(E83:E87)</f>
        <v>55000</v>
      </c>
      <c r="F88" s="111">
        <f>SUM(F83:F87)</f>
        <v>6453.333333333333</v>
      </c>
      <c r="G88" s="112">
        <f>SUM(G83:G87)</f>
        <v>16551.333333333332</v>
      </c>
    </row>
    <row r="89" spans="2:7" x14ac:dyDescent="0.2">
      <c r="C89" s="29"/>
    </row>
    <row r="90" spans="2:7" ht="13.5" thickBot="1" x14ac:dyDescent="0.25">
      <c r="C90" s="29"/>
    </row>
    <row r="91" spans="2:7" x14ac:dyDescent="0.2">
      <c r="B91" s="71" t="s">
        <v>219</v>
      </c>
      <c r="C91" s="72"/>
    </row>
    <row r="92" spans="2:7" x14ac:dyDescent="0.2">
      <c r="B92" s="122" t="s">
        <v>136</v>
      </c>
      <c r="C92" s="75"/>
    </row>
    <row r="93" spans="2:7" x14ac:dyDescent="0.2">
      <c r="B93" s="27" t="s">
        <v>36</v>
      </c>
      <c r="C93" s="74">
        <f>C8*C9</f>
        <v>882.75</v>
      </c>
    </row>
    <row r="94" spans="2:7" x14ac:dyDescent="0.2">
      <c r="B94" s="27" t="s">
        <v>112</v>
      </c>
      <c r="C94" s="76">
        <f>C10*6</f>
        <v>6</v>
      </c>
    </row>
    <row r="95" spans="2:7" x14ac:dyDescent="0.2">
      <c r="B95" s="27" t="s">
        <v>114</v>
      </c>
      <c r="C95" s="76">
        <f>C12*C11*C10</f>
        <v>54</v>
      </c>
    </row>
    <row r="96" spans="2:7" ht="13.5" thickBot="1" x14ac:dyDescent="0.25">
      <c r="B96" s="28" t="s">
        <v>111</v>
      </c>
      <c r="C96" s="77">
        <f>C13*C12*C11*C10</f>
        <v>432</v>
      </c>
    </row>
    <row r="97" spans="1:9" x14ac:dyDescent="0.2">
      <c r="B97" s="123" t="s">
        <v>137</v>
      </c>
      <c r="C97" s="72"/>
    </row>
    <row r="98" spans="1:9" x14ac:dyDescent="0.2">
      <c r="B98" s="27" t="s">
        <v>110</v>
      </c>
      <c r="C98" s="73">
        <f>C8*1000/C10</f>
        <v>55000</v>
      </c>
    </row>
    <row r="99" spans="1:9" x14ac:dyDescent="0.2">
      <c r="A99" s="1" t="s">
        <v>96</v>
      </c>
      <c r="B99" s="27" t="s">
        <v>115</v>
      </c>
      <c r="C99" s="74">
        <f>C98*C9</f>
        <v>882750</v>
      </c>
    </row>
    <row r="100" spans="1:9" x14ac:dyDescent="0.2">
      <c r="B100" s="27" t="s">
        <v>95</v>
      </c>
      <c r="C100" s="73">
        <f>C13*C12*C11</f>
        <v>432</v>
      </c>
    </row>
    <row r="101" spans="1:9" x14ac:dyDescent="0.2">
      <c r="B101" s="27" t="s">
        <v>93</v>
      </c>
      <c r="C101" s="73">
        <f>C12*C11</f>
        <v>54</v>
      </c>
    </row>
    <row r="102" spans="1:9" x14ac:dyDescent="0.2">
      <c r="B102" s="27" t="s">
        <v>138</v>
      </c>
      <c r="C102" s="73">
        <f>D126</f>
        <v>953.50051903551298</v>
      </c>
    </row>
    <row r="103" spans="1:9" x14ac:dyDescent="0.2">
      <c r="A103" s="1" t="s">
        <v>85</v>
      </c>
      <c r="B103" s="27" t="s">
        <v>139</v>
      </c>
      <c r="C103" s="74">
        <f>E126</f>
        <v>7628.0041522841038</v>
      </c>
    </row>
    <row r="104" spans="1:9" x14ac:dyDescent="0.2">
      <c r="B104" s="27" t="s">
        <v>140</v>
      </c>
      <c r="C104" s="74">
        <f>F126</f>
        <v>68652.037370556936</v>
      </c>
    </row>
    <row r="105" spans="1:9" x14ac:dyDescent="0.2">
      <c r="B105" s="27" t="s">
        <v>141</v>
      </c>
      <c r="C105" s="80">
        <f>G126</f>
        <v>7.4893131676971203</v>
      </c>
    </row>
    <row r="106" spans="1:9" ht="13.5" thickBot="1" x14ac:dyDescent="0.25">
      <c r="B106" s="28" t="s">
        <v>142</v>
      </c>
      <c r="C106" s="105">
        <f>C126</f>
        <v>411912.22422334162</v>
      </c>
    </row>
    <row r="108" spans="1:9" ht="13.5" thickBot="1" x14ac:dyDescent="0.25">
      <c r="A108" s="4"/>
      <c r="B108" s="118" t="s">
        <v>279</v>
      </c>
      <c r="C108" s="92"/>
    </row>
    <row r="109" spans="1:9" x14ac:dyDescent="0.2">
      <c r="A109" s="93"/>
      <c r="B109" s="124" t="s">
        <v>115</v>
      </c>
      <c r="C109" s="94"/>
      <c r="D109" s="95" t="s">
        <v>106</v>
      </c>
      <c r="E109" s="96" t="s">
        <v>109</v>
      </c>
      <c r="F109" s="95" t="s">
        <v>107</v>
      </c>
      <c r="G109" s="109" t="s">
        <v>108</v>
      </c>
    </row>
    <row r="110" spans="1:9" x14ac:dyDescent="0.2">
      <c r="A110" s="101"/>
      <c r="B110" s="124" t="s">
        <v>192</v>
      </c>
      <c r="C110" s="211">
        <f>C8*1000/C10</f>
        <v>55000</v>
      </c>
      <c r="D110" s="216">
        <f>C110/C100</f>
        <v>127.31481481481481</v>
      </c>
      <c r="E110" s="219">
        <f>C110/C101</f>
        <v>1018.5185185185185</v>
      </c>
      <c r="F110" s="220">
        <f>C110/C11</f>
        <v>9166.6666666666661</v>
      </c>
      <c r="G110" s="213"/>
      <c r="I110" s="14">
        <f>D110*16</f>
        <v>2037.037037037037</v>
      </c>
    </row>
    <row r="111" spans="1:9" x14ac:dyDescent="0.2">
      <c r="A111" s="101"/>
      <c r="B111" s="3" t="s">
        <v>17</v>
      </c>
      <c r="C111" s="214">
        <f>C9</f>
        <v>16.05</v>
      </c>
      <c r="D111" s="215">
        <f>C111</f>
        <v>16.05</v>
      </c>
      <c r="E111" s="217">
        <f>D111</f>
        <v>16.05</v>
      </c>
      <c r="F111" s="215">
        <f>E111</f>
        <v>16.05</v>
      </c>
      <c r="G111" s="218" t="s">
        <v>193</v>
      </c>
    </row>
    <row r="112" spans="1:9" x14ac:dyDescent="0.2">
      <c r="A112" s="97" t="s">
        <v>40</v>
      </c>
      <c r="B112" s="124" t="s">
        <v>132</v>
      </c>
      <c r="C112" s="11">
        <f>C110*C111</f>
        <v>882750</v>
      </c>
      <c r="D112" s="11">
        <f>D110*D111</f>
        <v>2043.4027777777778</v>
      </c>
      <c r="E112" s="11">
        <f>E110*E111</f>
        <v>16347.222222222223</v>
      </c>
      <c r="F112" s="11">
        <f>F110*F111</f>
        <v>147125</v>
      </c>
      <c r="G112" s="80">
        <f>$C112/C$98</f>
        <v>16.05</v>
      </c>
    </row>
    <row r="113" spans="1:8" x14ac:dyDescent="0.2">
      <c r="A113" s="97"/>
      <c r="B113" s="3"/>
      <c r="C113" s="7"/>
      <c r="G113" s="45"/>
    </row>
    <row r="114" spans="1:8" x14ac:dyDescent="0.2">
      <c r="A114" s="97"/>
      <c r="B114" s="124" t="s">
        <v>12</v>
      </c>
      <c r="C114" s="7"/>
      <c r="D114" s="24" t="str">
        <f>D$109</f>
        <v>/shot</v>
      </c>
      <c r="E114" s="24" t="str">
        <f>$E$109</f>
        <v>/night</v>
      </c>
      <c r="F114" s="24" t="str">
        <f>F$109</f>
        <v>/trip</v>
      </c>
      <c r="G114" s="110" t="str">
        <f>G$109</f>
        <v>/kg</v>
      </c>
    </row>
    <row r="115" spans="1:8" x14ac:dyDescent="0.2">
      <c r="A115" s="97"/>
      <c r="B115" s="3" t="s">
        <v>41</v>
      </c>
      <c r="C115" s="70">
        <f t="shared" ref="C115:C120" si="0">C16</f>
        <v>77161.944444444438</v>
      </c>
      <c r="D115" s="98">
        <f t="shared" ref="D115:D124" si="1">$C115/C$100</f>
        <v>178.61561213991769</v>
      </c>
      <c r="E115" s="98">
        <f t="shared" ref="E115:E124" si="2">$C115/C$101</f>
        <v>1428.9248971193415</v>
      </c>
      <c r="F115" s="98">
        <f t="shared" ref="F115:F124" si="3">$C115/C$11</f>
        <v>12860.324074074073</v>
      </c>
      <c r="G115" s="80">
        <f t="shared" ref="G115:G124" si="4">$C115/C$98</f>
        <v>1.4029444444444443</v>
      </c>
    </row>
    <row r="116" spans="1:8" x14ac:dyDescent="0.2">
      <c r="A116" s="97"/>
      <c r="B116" s="3" t="s">
        <v>84</v>
      </c>
      <c r="C116" s="70">
        <f t="shared" si="0"/>
        <v>49361.477124183002</v>
      </c>
      <c r="D116" s="98">
        <f t="shared" si="1"/>
        <v>114.26267852820139</v>
      </c>
      <c r="E116" s="98">
        <f t="shared" si="2"/>
        <v>914.10142822561113</v>
      </c>
      <c r="F116" s="98">
        <f t="shared" si="3"/>
        <v>8226.912854030501</v>
      </c>
      <c r="G116" s="80">
        <f t="shared" si="4"/>
        <v>0.89748140225787276</v>
      </c>
    </row>
    <row r="117" spans="1:8" x14ac:dyDescent="0.2">
      <c r="A117" s="97"/>
      <c r="B117" s="8" t="s">
        <v>42</v>
      </c>
      <c r="C117" s="70">
        <f t="shared" si="0"/>
        <v>6680.6470588235297</v>
      </c>
      <c r="D117" s="98">
        <f t="shared" si="1"/>
        <v>15.464460784313726</v>
      </c>
      <c r="E117" s="98">
        <f t="shared" si="2"/>
        <v>123.71568627450981</v>
      </c>
      <c r="F117" s="98">
        <f t="shared" si="3"/>
        <v>1113.4411764705883</v>
      </c>
      <c r="G117" s="80">
        <f t="shared" si="4"/>
        <v>0.12146631016042782</v>
      </c>
    </row>
    <row r="118" spans="1:8" x14ac:dyDescent="0.2">
      <c r="A118" s="97"/>
      <c r="B118" s="3" t="s">
        <v>43</v>
      </c>
      <c r="C118" s="70">
        <f t="shared" si="0"/>
        <v>9534.1944444444453</v>
      </c>
      <c r="D118" s="98">
        <f t="shared" si="1"/>
        <v>22.069894547325106</v>
      </c>
      <c r="E118" s="98">
        <f t="shared" si="2"/>
        <v>176.55915637860085</v>
      </c>
      <c r="F118" s="98">
        <f t="shared" si="3"/>
        <v>1589.0324074074076</v>
      </c>
      <c r="G118" s="80">
        <f t="shared" si="4"/>
        <v>0.17334898989898992</v>
      </c>
    </row>
    <row r="119" spans="1:8" x14ac:dyDescent="0.2">
      <c r="A119" s="97"/>
      <c r="B119" s="3" t="s">
        <v>46</v>
      </c>
      <c r="C119" s="70">
        <f t="shared" si="0"/>
        <v>852.41176470588243</v>
      </c>
      <c r="D119" s="98">
        <f t="shared" si="1"/>
        <v>1.9731753812636168</v>
      </c>
      <c r="E119" s="98">
        <f t="shared" si="2"/>
        <v>15.785403050108934</v>
      </c>
      <c r="F119" s="98">
        <f t="shared" si="3"/>
        <v>142.06862745098042</v>
      </c>
      <c r="G119" s="80">
        <f t="shared" si="4"/>
        <v>1.5498395721925136E-2</v>
      </c>
    </row>
    <row r="120" spans="1:8" x14ac:dyDescent="0.2">
      <c r="A120" s="97"/>
      <c r="B120" s="3" t="s">
        <v>102</v>
      </c>
      <c r="C120" s="70">
        <f t="shared" si="0"/>
        <v>0</v>
      </c>
      <c r="D120" s="98">
        <f t="shared" si="1"/>
        <v>0</v>
      </c>
      <c r="E120" s="98">
        <f t="shared" si="2"/>
        <v>0</v>
      </c>
      <c r="F120" s="98">
        <f t="shared" si="3"/>
        <v>0</v>
      </c>
      <c r="G120" s="80">
        <f t="shared" si="4"/>
        <v>0</v>
      </c>
      <c r="H120" s="14" t="s">
        <v>85</v>
      </c>
    </row>
    <row r="121" spans="1:8" x14ac:dyDescent="0.2">
      <c r="A121" s="97"/>
      <c r="B121" s="3" t="s">
        <v>8</v>
      </c>
      <c r="C121" s="98">
        <f>G88</f>
        <v>16551.333333333332</v>
      </c>
      <c r="D121" s="98">
        <f t="shared" si="1"/>
        <v>38.313271604938272</v>
      </c>
      <c r="E121" s="98">
        <f t="shared" si="2"/>
        <v>306.50617283950618</v>
      </c>
      <c r="F121" s="98">
        <f t="shared" si="3"/>
        <v>2758.5555555555552</v>
      </c>
      <c r="G121" s="80">
        <f t="shared" si="4"/>
        <v>0.30093333333333333</v>
      </c>
    </row>
    <row r="122" spans="1:8" x14ac:dyDescent="0.2">
      <c r="A122" s="97"/>
      <c r="B122" s="3" t="s">
        <v>44</v>
      </c>
      <c r="C122" s="98">
        <f>G79-G78</f>
        <v>303472.62848135433</v>
      </c>
      <c r="D122" s="98">
        <f t="shared" si="1"/>
        <v>702.48293629943134</v>
      </c>
      <c r="E122" s="98">
        <f t="shared" si="2"/>
        <v>5619.8634903954508</v>
      </c>
      <c r="F122" s="98">
        <f t="shared" si="3"/>
        <v>50578.771413559058</v>
      </c>
      <c r="G122" s="80">
        <f t="shared" si="4"/>
        <v>5.5176841542064423</v>
      </c>
    </row>
    <row r="123" spans="1:8" x14ac:dyDescent="0.2">
      <c r="A123" s="97" t="s">
        <v>45</v>
      </c>
      <c r="B123" s="8" t="s">
        <v>87</v>
      </c>
      <c r="C123" s="98">
        <f>G78</f>
        <v>7223.1391253694346</v>
      </c>
      <c r="D123" s="98">
        <f t="shared" si="1"/>
        <v>16.720229456873692</v>
      </c>
      <c r="E123" s="98">
        <f t="shared" si="2"/>
        <v>133.76183565498954</v>
      </c>
      <c r="F123" s="98">
        <f t="shared" si="3"/>
        <v>1203.8565208949058</v>
      </c>
      <c r="G123" s="80">
        <f t="shared" si="4"/>
        <v>0.13132980227944427</v>
      </c>
    </row>
    <row r="124" spans="1:8" s="10" customFormat="1" x14ac:dyDescent="0.2">
      <c r="A124" s="99" t="s">
        <v>47</v>
      </c>
      <c r="B124" s="125" t="s">
        <v>48</v>
      </c>
      <c r="C124" s="22">
        <f>SUM(C115:C123)</f>
        <v>470837.77577665838</v>
      </c>
      <c r="D124" s="21">
        <f t="shared" si="1"/>
        <v>1089.9022587422648</v>
      </c>
      <c r="E124" s="21">
        <f t="shared" si="2"/>
        <v>8719.2180699381188</v>
      </c>
      <c r="F124" s="21">
        <f t="shared" si="3"/>
        <v>78472.962629443064</v>
      </c>
      <c r="G124" s="119">
        <f t="shared" si="4"/>
        <v>8.5606868323028795</v>
      </c>
      <c r="H124" s="91"/>
    </row>
    <row r="125" spans="1:8" x14ac:dyDescent="0.2">
      <c r="A125" s="97"/>
      <c r="B125" s="5"/>
      <c r="C125" s="89"/>
      <c r="D125" s="24" t="str">
        <f>D$109</f>
        <v>/shot</v>
      </c>
      <c r="E125" s="24" t="str">
        <f>$E$109</f>
        <v>/night</v>
      </c>
      <c r="F125" s="24" t="str">
        <f>F$109</f>
        <v>/trip</v>
      </c>
      <c r="G125" s="110" t="str">
        <f>G$109</f>
        <v>/kg</v>
      </c>
    </row>
    <row r="126" spans="1:8" s="10" customFormat="1" x14ac:dyDescent="0.2">
      <c r="A126" s="100"/>
      <c r="B126" s="125" t="s">
        <v>62</v>
      </c>
      <c r="C126" s="22">
        <f>C112-C124</f>
        <v>411912.22422334162</v>
      </c>
      <c r="D126" s="21">
        <f>$C126/C$100</f>
        <v>953.50051903551298</v>
      </c>
      <c r="E126" s="21">
        <f>$C126/C$101</f>
        <v>7628.0041522841038</v>
      </c>
      <c r="F126" s="21">
        <f>$C126/C$11</f>
        <v>68652.037370556936</v>
      </c>
      <c r="G126" s="119">
        <f>$C126/C$98</f>
        <v>7.4893131676971203</v>
      </c>
      <c r="H126" s="91"/>
    </row>
    <row r="127" spans="1:8" x14ac:dyDescent="0.2">
      <c r="A127" s="97"/>
      <c r="B127" s="3"/>
      <c r="C127" s="7"/>
      <c r="G127" s="45"/>
    </row>
    <row r="128" spans="1:8" x14ac:dyDescent="0.2">
      <c r="A128" s="97"/>
      <c r="B128" s="124" t="s">
        <v>13</v>
      </c>
      <c r="C128" s="7"/>
      <c r="D128" s="24" t="str">
        <f>D$109</f>
        <v>/shot</v>
      </c>
      <c r="E128" s="24" t="str">
        <f>$E$109</f>
        <v>/night</v>
      </c>
      <c r="F128" s="24" t="str">
        <f>F$109</f>
        <v>/trip</v>
      </c>
      <c r="G128" s="110" t="str">
        <f>G$109</f>
        <v>/kg</v>
      </c>
    </row>
    <row r="129" spans="1:8" x14ac:dyDescent="0.2">
      <c r="A129" s="97"/>
      <c r="B129" s="3" t="s">
        <v>69</v>
      </c>
      <c r="C129" s="70">
        <f t="shared" ref="C129:C139" si="5">C41</f>
        <v>94035.012958994179</v>
      </c>
      <c r="D129" s="98">
        <f t="shared" ref="D129:D151" si="6">$C129/C$100</f>
        <v>217.67364110878282</v>
      </c>
      <c r="E129" s="98">
        <f t="shared" ref="E129:E141" si="7">$C129/C$101</f>
        <v>1741.3891288702625</v>
      </c>
      <c r="F129" s="98">
        <f t="shared" ref="F129:F141" si="8">$C129/C$11</f>
        <v>15672.502159832364</v>
      </c>
      <c r="G129" s="80">
        <f t="shared" ref="G129:G141" si="9">$C129/C$98</f>
        <v>1.7097275083453487</v>
      </c>
    </row>
    <row r="130" spans="1:8" x14ac:dyDescent="0.2">
      <c r="A130" s="97"/>
      <c r="B130" s="3" t="s">
        <v>49</v>
      </c>
      <c r="C130" s="70">
        <f t="shared" si="5"/>
        <v>24676.823529411766</v>
      </c>
      <c r="D130" s="98">
        <f t="shared" si="6"/>
        <v>57.122276688453162</v>
      </c>
      <c r="E130" s="98">
        <f t="shared" si="7"/>
        <v>456.9782135076253</v>
      </c>
      <c r="F130" s="98">
        <f t="shared" si="8"/>
        <v>4112.8039215686276</v>
      </c>
      <c r="G130" s="80">
        <f t="shared" si="9"/>
        <v>0.44866951871657756</v>
      </c>
    </row>
    <row r="131" spans="1:8" x14ac:dyDescent="0.2">
      <c r="A131" s="97"/>
      <c r="B131" s="3" t="s">
        <v>50</v>
      </c>
      <c r="C131" s="70">
        <f t="shared" si="5"/>
        <v>18235</v>
      </c>
      <c r="D131" s="98">
        <f t="shared" si="6"/>
        <v>42.210648148148145</v>
      </c>
      <c r="E131" s="98">
        <f t="shared" si="7"/>
        <v>337.68518518518516</v>
      </c>
      <c r="F131" s="98">
        <f t="shared" si="8"/>
        <v>3039.1666666666665</v>
      </c>
      <c r="G131" s="80">
        <f t="shared" si="9"/>
        <v>0.33154545454545453</v>
      </c>
    </row>
    <row r="132" spans="1:8" x14ac:dyDescent="0.2">
      <c r="A132" s="97" t="s">
        <v>51</v>
      </c>
      <c r="B132" s="3" t="s">
        <v>52</v>
      </c>
      <c r="C132" s="70">
        <f t="shared" si="5"/>
        <v>7376.333333333333</v>
      </c>
      <c r="D132" s="98">
        <f t="shared" si="6"/>
        <v>17.074845679012345</v>
      </c>
      <c r="E132" s="98">
        <f t="shared" si="7"/>
        <v>136.59876543209876</v>
      </c>
      <c r="F132" s="98">
        <f t="shared" si="8"/>
        <v>1229.3888888888889</v>
      </c>
      <c r="G132" s="80">
        <f t="shared" si="9"/>
        <v>0.13411515151515152</v>
      </c>
    </row>
    <row r="133" spans="1:8" x14ac:dyDescent="0.2">
      <c r="A133" s="97" t="s">
        <v>53</v>
      </c>
      <c r="B133" s="3" t="s">
        <v>87</v>
      </c>
      <c r="C133" s="70">
        <f t="shared" si="5"/>
        <v>9740.5539181286567</v>
      </c>
      <c r="D133" s="98">
        <f t="shared" si="6"/>
        <v>22.547578514186707</v>
      </c>
      <c r="E133" s="98">
        <f t="shared" si="7"/>
        <v>180.38062811349366</v>
      </c>
      <c r="F133" s="98">
        <f t="shared" si="8"/>
        <v>1623.4256530214427</v>
      </c>
      <c r="G133" s="80">
        <f t="shared" si="9"/>
        <v>0.17710098032961194</v>
      </c>
    </row>
    <row r="134" spans="1:8" x14ac:dyDescent="0.2">
      <c r="A134" s="101"/>
      <c r="B134" s="3" t="s">
        <v>54</v>
      </c>
      <c r="C134" s="70">
        <f t="shared" si="5"/>
        <v>7231.666666666667</v>
      </c>
      <c r="D134" s="98">
        <f t="shared" si="6"/>
        <v>16.739969135802468</v>
      </c>
      <c r="E134" s="98">
        <f t="shared" si="7"/>
        <v>133.91975308641975</v>
      </c>
      <c r="F134" s="98">
        <f t="shared" si="8"/>
        <v>1205.2777777777778</v>
      </c>
      <c r="G134" s="80">
        <f t="shared" si="9"/>
        <v>0.13148484848484848</v>
      </c>
    </row>
    <row r="135" spans="1:8" x14ac:dyDescent="0.2">
      <c r="A135" s="101"/>
      <c r="B135" s="3" t="s">
        <v>55</v>
      </c>
      <c r="C135" s="70">
        <f t="shared" si="5"/>
        <v>3139.7222222222222</v>
      </c>
      <c r="D135" s="98">
        <f t="shared" si="6"/>
        <v>7.2678755144032925</v>
      </c>
      <c r="E135" s="98">
        <f t="shared" si="7"/>
        <v>58.14300411522634</v>
      </c>
      <c r="F135" s="98">
        <f t="shared" si="8"/>
        <v>523.28703703703707</v>
      </c>
      <c r="G135" s="80">
        <f t="shared" si="9"/>
        <v>5.7085858585858587E-2</v>
      </c>
    </row>
    <row r="136" spans="1:8" x14ac:dyDescent="0.2">
      <c r="A136" s="101"/>
      <c r="B136" s="3" t="s">
        <v>84</v>
      </c>
      <c r="C136" s="70">
        <f t="shared" si="5"/>
        <v>49361.477124183002</v>
      </c>
      <c r="D136" s="98">
        <f t="shared" si="6"/>
        <v>114.26267852820139</v>
      </c>
      <c r="E136" s="98">
        <f t="shared" si="7"/>
        <v>914.10142822561113</v>
      </c>
      <c r="F136" s="98">
        <f t="shared" si="8"/>
        <v>8226.912854030501</v>
      </c>
      <c r="G136" s="80">
        <f t="shared" si="9"/>
        <v>0.89748140225787276</v>
      </c>
    </row>
    <row r="137" spans="1:8" x14ac:dyDescent="0.2">
      <c r="A137" s="101"/>
      <c r="B137" s="3" t="s">
        <v>56</v>
      </c>
      <c r="C137" s="70">
        <f t="shared" si="5"/>
        <v>17502.029411764706</v>
      </c>
      <c r="D137" s="98">
        <f t="shared" si="6"/>
        <v>40.513956971677558</v>
      </c>
      <c r="E137" s="98">
        <f t="shared" si="7"/>
        <v>324.11165577342047</v>
      </c>
      <c r="F137" s="98">
        <f t="shared" si="8"/>
        <v>2917.0049019607845</v>
      </c>
      <c r="G137" s="80">
        <f t="shared" si="9"/>
        <v>0.31821871657754014</v>
      </c>
    </row>
    <row r="138" spans="1:8" x14ac:dyDescent="0.2">
      <c r="A138" s="101"/>
      <c r="B138" s="3" t="s">
        <v>57</v>
      </c>
      <c r="C138" s="70">
        <f t="shared" si="5"/>
        <v>853.61111111111109</v>
      </c>
      <c r="D138" s="98">
        <f t="shared" si="6"/>
        <v>1.9759516460905349</v>
      </c>
      <c r="E138" s="98">
        <f t="shared" si="7"/>
        <v>15.807613168724279</v>
      </c>
      <c r="F138" s="98">
        <f t="shared" si="8"/>
        <v>142.2685185185185</v>
      </c>
      <c r="G138" s="80">
        <f t="shared" si="9"/>
        <v>1.5520202020202019E-2</v>
      </c>
    </row>
    <row r="139" spans="1:8" x14ac:dyDescent="0.2">
      <c r="A139" s="101"/>
      <c r="B139" s="3" t="s">
        <v>58</v>
      </c>
      <c r="C139" s="70">
        <f t="shared" si="5"/>
        <v>17036.016339869282</v>
      </c>
      <c r="D139" s="98">
        <f t="shared" si="6"/>
        <v>39.435223008956669</v>
      </c>
      <c r="E139" s="98">
        <f t="shared" si="7"/>
        <v>315.48178407165335</v>
      </c>
      <c r="F139" s="98">
        <f t="shared" si="8"/>
        <v>2839.3360566448805</v>
      </c>
      <c r="G139" s="80">
        <f t="shared" si="9"/>
        <v>0.30974575163398693</v>
      </c>
    </row>
    <row r="140" spans="1:8" x14ac:dyDescent="0.2">
      <c r="A140" s="101"/>
      <c r="B140" s="3" t="s">
        <v>102</v>
      </c>
      <c r="C140" s="70"/>
      <c r="D140" s="98">
        <f t="shared" si="6"/>
        <v>0</v>
      </c>
      <c r="E140" s="98">
        <f t="shared" si="7"/>
        <v>0</v>
      </c>
      <c r="F140" s="98">
        <f t="shared" si="8"/>
        <v>0</v>
      </c>
      <c r="G140" s="80">
        <f t="shared" si="9"/>
        <v>0</v>
      </c>
    </row>
    <row r="141" spans="1:8" s="10" customFormat="1" x14ac:dyDescent="0.2">
      <c r="A141" s="99" t="s">
        <v>59</v>
      </c>
      <c r="B141" s="125" t="s">
        <v>60</v>
      </c>
      <c r="C141" s="22">
        <f>SUM(C129:C140)</f>
        <v>249188.24661568494</v>
      </c>
      <c r="D141" s="21">
        <f t="shared" si="6"/>
        <v>576.82464494371516</v>
      </c>
      <c r="E141" s="21">
        <f t="shared" si="7"/>
        <v>4614.5971595497213</v>
      </c>
      <c r="F141" s="21">
        <f t="shared" si="8"/>
        <v>41531.374435947488</v>
      </c>
      <c r="G141" s="119">
        <f t="shared" si="9"/>
        <v>4.5306953930124534</v>
      </c>
      <c r="H141" s="91"/>
    </row>
    <row r="142" spans="1:8" x14ac:dyDescent="0.2">
      <c r="A142" s="97"/>
      <c r="B142" s="3"/>
      <c r="C142" s="120"/>
      <c r="D142" s="17"/>
      <c r="E142" s="17"/>
      <c r="F142" s="17"/>
      <c r="G142" s="121"/>
    </row>
    <row r="143" spans="1:8" x14ac:dyDescent="0.2">
      <c r="A143" s="97" t="s">
        <v>61</v>
      </c>
      <c r="B143" s="124" t="s">
        <v>86</v>
      </c>
      <c r="C143" s="11">
        <f>C124+C141-C149</f>
        <v>625991.00943334913</v>
      </c>
      <c r="D143" s="98">
        <f t="shared" si="6"/>
        <v>1449.0532625771971</v>
      </c>
      <c r="E143" s="98">
        <f>$C143/C$101</f>
        <v>11592.426100617577</v>
      </c>
      <c r="F143" s="98">
        <f>$C143/C$11</f>
        <v>104331.83490555819</v>
      </c>
      <c r="G143" s="80">
        <f t="shared" ref="G143" si="10">$C143/C$98</f>
        <v>11.381654716969985</v>
      </c>
    </row>
    <row r="144" spans="1:8" x14ac:dyDescent="0.2">
      <c r="A144" s="101"/>
      <c r="B144" s="3"/>
      <c r="C144" s="7"/>
      <c r="G144" s="45"/>
    </row>
    <row r="145" spans="1:7" x14ac:dyDescent="0.2">
      <c r="A145" s="101"/>
      <c r="B145" s="3"/>
      <c r="C145" s="6"/>
      <c r="D145" s="24" t="str">
        <f>D$109</f>
        <v>/shot</v>
      </c>
      <c r="E145" s="24" t="str">
        <f>$E$109</f>
        <v>/night</v>
      </c>
      <c r="F145" s="24" t="str">
        <f>F$109</f>
        <v>/trip</v>
      </c>
      <c r="G145" s="110" t="str">
        <f>G$109</f>
        <v>/kg</v>
      </c>
    </row>
    <row r="146" spans="1:7" x14ac:dyDescent="0.2">
      <c r="A146" s="97" t="s">
        <v>63</v>
      </c>
      <c r="B146" s="124" t="s">
        <v>64</v>
      </c>
      <c r="C146" s="11">
        <f>C133+C123</f>
        <v>16963.69304349809</v>
      </c>
      <c r="D146" s="98">
        <f t="shared" si="6"/>
        <v>39.267807971060392</v>
      </c>
      <c r="E146" s="98">
        <f t="shared" ref="E146:E151" si="11">$C146/C$101</f>
        <v>314.14246376848314</v>
      </c>
      <c r="F146" s="98">
        <f t="shared" ref="F146:F151" si="12">$C146/C$11</f>
        <v>2827.2821739163483</v>
      </c>
      <c r="G146" s="80">
        <f t="shared" ref="G146:G151" si="13">$C146/C$98</f>
        <v>0.30843078260905615</v>
      </c>
    </row>
    <row r="147" spans="1:7" x14ac:dyDescent="0.2">
      <c r="A147" s="101"/>
      <c r="B147" s="124" t="s">
        <v>65</v>
      </c>
      <c r="C147" s="11">
        <f>C112-C143+C146</f>
        <v>273722.68361014896</v>
      </c>
      <c r="D147" s="98">
        <f t="shared" si="6"/>
        <v>633.61732317164115</v>
      </c>
      <c r="E147" s="98">
        <f t="shared" si="11"/>
        <v>5068.9385853731292</v>
      </c>
      <c r="F147" s="98">
        <f t="shared" si="12"/>
        <v>45620.447268358163</v>
      </c>
      <c r="G147" s="80">
        <f t="shared" si="13"/>
        <v>4.976776065639072</v>
      </c>
    </row>
    <row r="148" spans="1:7" x14ac:dyDescent="0.2">
      <c r="A148" s="97" t="s">
        <v>66</v>
      </c>
      <c r="B148" s="124" t="s">
        <v>67</v>
      </c>
      <c r="C148" s="11">
        <v>268746.07474914961</v>
      </c>
      <c r="D148" s="98">
        <f t="shared" si="6"/>
        <v>622.09739525266116</v>
      </c>
      <c r="E148" s="98">
        <f t="shared" si="11"/>
        <v>4976.7791620212893</v>
      </c>
      <c r="F148" s="98">
        <f t="shared" si="12"/>
        <v>44791.012458191602</v>
      </c>
      <c r="G148" s="80">
        <f t="shared" si="13"/>
        <v>4.8862922681663568</v>
      </c>
    </row>
    <row r="149" spans="1:7" x14ac:dyDescent="0.2">
      <c r="A149" s="97" t="s">
        <v>68</v>
      </c>
      <c r="B149" s="124" t="s">
        <v>69</v>
      </c>
      <c r="C149" s="11">
        <f>C129</f>
        <v>94035.012958994179</v>
      </c>
      <c r="D149" s="98">
        <f t="shared" si="6"/>
        <v>217.67364110878282</v>
      </c>
      <c r="E149" s="98">
        <f t="shared" si="11"/>
        <v>1741.3891288702625</v>
      </c>
      <c r="F149" s="98">
        <f t="shared" si="12"/>
        <v>15672.502159832364</v>
      </c>
      <c r="G149" s="80">
        <f t="shared" si="13"/>
        <v>1.7097275083453487</v>
      </c>
    </row>
    <row r="150" spans="1:7" x14ac:dyDescent="0.2">
      <c r="A150" s="97" t="s">
        <v>70</v>
      </c>
      <c r="B150" s="124" t="s">
        <v>71</v>
      </c>
      <c r="C150" s="11">
        <f>C148-C149</f>
        <v>174711.06179015542</v>
      </c>
      <c r="D150" s="98">
        <f t="shared" si="6"/>
        <v>404.42375414387828</v>
      </c>
      <c r="E150" s="98">
        <f t="shared" si="11"/>
        <v>3235.3900331510263</v>
      </c>
      <c r="F150" s="98">
        <f t="shared" si="12"/>
        <v>29118.510298359237</v>
      </c>
      <c r="G150" s="80">
        <f t="shared" si="13"/>
        <v>3.1765647598210078</v>
      </c>
    </row>
    <row r="151" spans="1:7" x14ac:dyDescent="0.2">
      <c r="A151" s="97" t="s">
        <v>72</v>
      </c>
      <c r="B151" s="124" t="s">
        <v>73</v>
      </c>
      <c r="C151" s="11">
        <f>C150+C132</f>
        <v>182087.39512348876</v>
      </c>
      <c r="D151" s="98">
        <f t="shared" si="6"/>
        <v>421.49859982289064</v>
      </c>
      <c r="E151" s="98">
        <f t="shared" si="11"/>
        <v>3371.9887985831251</v>
      </c>
      <c r="F151" s="98">
        <f t="shared" si="12"/>
        <v>30347.899187248127</v>
      </c>
      <c r="G151" s="80">
        <f t="shared" si="13"/>
        <v>3.3106799113361594</v>
      </c>
    </row>
    <row r="152" spans="1:7" x14ac:dyDescent="0.2">
      <c r="A152" s="101"/>
      <c r="B152" s="124" t="s">
        <v>74</v>
      </c>
      <c r="C152" s="7"/>
      <c r="G152" s="45"/>
    </row>
    <row r="153" spans="1:7" x14ac:dyDescent="0.2">
      <c r="A153" s="97" t="s">
        <v>75</v>
      </c>
      <c r="B153" s="3" t="s">
        <v>76</v>
      </c>
      <c r="C153" s="70">
        <f>C55</f>
        <v>1465433.4470031608</v>
      </c>
      <c r="D153" s="98">
        <f t="shared" ref="D153" si="14">$C153/C$100</f>
        <v>3392.2070532480575</v>
      </c>
      <c r="E153" s="98">
        <f>$C153/C$101</f>
        <v>27137.65642598446</v>
      </c>
      <c r="F153" s="98">
        <f>$C153/C$11</f>
        <v>244238.90783386014</v>
      </c>
      <c r="G153" s="80">
        <f t="shared" ref="G153" si="15">$C153/C$98</f>
        <v>26.64424449096656</v>
      </c>
    </row>
    <row r="154" spans="1:7" x14ac:dyDescent="0.2">
      <c r="A154" s="97"/>
      <c r="B154" s="3" t="s">
        <v>77</v>
      </c>
      <c r="C154" s="70">
        <f>C56</f>
        <v>3659375</v>
      </c>
      <c r="G154" s="45"/>
    </row>
    <row r="155" spans="1:7" x14ac:dyDescent="0.2">
      <c r="A155" s="97" t="s">
        <v>78</v>
      </c>
      <c r="B155" s="124" t="s">
        <v>79</v>
      </c>
      <c r="C155" s="11">
        <f>C154+C153</f>
        <v>5124808.4470031606</v>
      </c>
      <c r="G155" s="45"/>
    </row>
    <row r="156" spans="1:7" x14ac:dyDescent="0.2">
      <c r="A156" s="101"/>
      <c r="B156" s="3"/>
      <c r="C156" s="7"/>
      <c r="G156" s="45"/>
    </row>
    <row r="157" spans="1:7" ht="25.5" x14ac:dyDescent="0.2">
      <c r="A157" s="101"/>
      <c r="B157" s="124" t="s">
        <v>80</v>
      </c>
      <c r="C157" s="13">
        <f>C151/C153</f>
        <v>0.1242549741824584</v>
      </c>
      <c r="G157" s="45"/>
    </row>
    <row r="158" spans="1:7" x14ac:dyDescent="0.2">
      <c r="A158" s="101"/>
      <c r="B158" s="3"/>
      <c r="C158" s="9"/>
      <c r="G158" s="45"/>
    </row>
    <row r="159" spans="1:7" ht="25.5" x14ac:dyDescent="0.2">
      <c r="A159" s="101"/>
      <c r="B159" s="124" t="s">
        <v>81</v>
      </c>
      <c r="C159" s="13">
        <f>C151/C155</f>
        <v>3.5530575826686402E-2</v>
      </c>
      <c r="G159" s="45"/>
    </row>
    <row r="160" spans="1:7" ht="13.5" thickBot="1" x14ac:dyDescent="0.25">
      <c r="A160" s="102"/>
      <c r="B160" s="103"/>
      <c r="C160" s="104"/>
      <c r="D160" s="34"/>
      <c r="E160" s="34"/>
      <c r="F160" s="34"/>
      <c r="G160" s="49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8"/>
  <sheetViews>
    <sheetView tabSelected="1" topLeftCell="A113" zoomScaleNormal="100" workbookViewId="0">
      <selection activeCell="D120" sqref="D120"/>
    </sheetView>
  </sheetViews>
  <sheetFormatPr defaultRowHeight="16.5" x14ac:dyDescent="0.3"/>
  <cols>
    <col min="2" max="2" width="35.375" customWidth="1"/>
    <col min="3" max="3" width="16.25" customWidth="1"/>
    <col min="4" max="4" width="13.625" customWidth="1"/>
    <col min="5" max="5" width="14.875" customWidth="1"/>
    <col min="6" max="6" width="12.375" customWidth="1"/>
    <col min="7" max="7" width="17.375" customWidth="1"/>
    <col min="8" max="8" width="10.875" bestFit="1" customWidth="1"/>
    <col min="9" max="9" width="9.125" bestFit="1" customWidth="1"/>
    <col min="10" max="10" width="11.875" bestFit="1" customWidth="1"/>
    <col min="11" max="15" width="9.125" bestFit="1" customWidth="1"/>
  </cols>
  <sheetData>
    <row r="1" spans="2:8" x14ac:dyDescent="0.3">
      <c r="B1" s="15"/>
      <c r="C1" s="1" t="s">
        <v>150</v>
      </c>
      <c r="D1" s="1"/>
    </row>
    <row r="2" spans="2:8" x14ac:dyDescent="0.3">
      <c r="B2" s="17"/>
      <c r="C2" s="1" t="s">
        <v>117</v>
      </c>
      <c r="D2" s="1"/>
    </row>
    <row r="3" spans="2:8" x14ac:dyDescent="0.3">
      <c r="B3" s="126"/>
      <c r="C3" s="1" t="s">
        <v>208</v>
      </c>
      <c r="D3" s="1"/>
    </row>
    <row r="4" spans="2:8" x14ac:dyDescent="0.3">
      <c r="B4" s="277" t="s">
        <v>225</v>
      </c>
      <c r="C4" s="1" t="s">
        <v>221</v>
      </c>
      <c r="D4" s="1"/>
    </row>
    <row r="6" spans="2:8" ht="17.25" thickBot="1" x14ac:dyDescent="0.35">
      <c r="B6" s="269" t="s">
        <v>155</v>
      </c>
      <c r="C6" s="269"/>
      <c r="D6" s="269"/>
      <c r="E6" s="269"/>
      <c r="F6" s="269"/>
    </row>
    <row r="7" spans="2:8" x14ac:dyDescent="0.3">
      <c r="B7" s="270" t="s">
        <v>154</v>
      </c>
      <c r="C7" s="271" t="s">
        <v>153</v>
      </c>
      <c r="D7" s="272">
        <v>10</v>
      </c>
      <c r="E7" s="272">
        <v>5</v>
      </c>
      <c r="F7" s="273">
        <v>3</v>
      </c>
    </row>
    <row r="8" spans="2:8" ht="17.25" thickBot="1" x14ac:dyDescent="0.35">
      <c r="B8" s="274" t="s">
        <v>156</v>
      </c>
      <c r="C8" s="275" t="s">
        <v>157</v>
      </c>
      <c r="D8" s="275" t="s">
        <v>158</v>
      </c>
      <c r="E8" s="275" t="s">
        <v>159</v>
      </c>
      <c r="F8" s="276"/>
    </row>
    <row r="9" spans="2:8" ht="17.25" thickBot="1" x14ac:dyDescent="0.35"/>
    <row r="10" spans="2:8" ht="50.25" thickBot="1" x14ac:dyDescent="0.35">
      <c r="B10" s="364" t="s">
        <v>222</v>
      </c>
      <c r="C10" s="147" t="s">
        <v>292</v>
      </c>
      <c r="D10" s="147" t="s">
        <v>293</v>
      </c>
      <c r="E10" s="147"/>
      <c r="F10" s="147"/>
      <c r="G10" s="146" t="s">
        <v>114</v>
      </c>
      <c r="H10" s="278">
        <v>2</v>
      </c>
    </row>
    <row r="11" spans="2:8" ht="17.25" thickBot="1" x14ac:dyDescent="0.35">
      <c r="B11" s="150" t="s">
        <v>294</v>
      </c>
      <c r="C11" s="365">
        <v>0</v>
      </c>
      <c r="D11" s="365">
        <v>200</v>
      </c>
      <c r="G11" s="366" t="s">
        <v>304</v>
      </c>
      <c r="H11" s="278">
        <v>4</v>
      </c>
    </row>
    <row r="12" spans="2:8" ht="17.25" thickBot="1" x14ac:dyDescent="0.35">
      <c r="B12" s="150" t="s">
        <v>295</v>
      </c>
      <c r="C12" s="365">
        <v>100</v>
      </c>
      <c r="D12" s="365">
        <f>D14</f>
        <v>118</v>
      </c>
      <c r="G12" s="366" t="s">
        <v>195</v>
      </c>
      <c r="H12" s="278">
        <v>2</v>
      </c>
    </row>
    <row r="13" spans="2:8" ht="17.25" thickBot="1" x14ac:dyDescent="0.35">
      <c r="B13" s="150" t="s">
        <v>296</v>
      </c>
      <c r="C13" s="365">
        <v>110</v>
      </c>
      <c r="D13" s="365">
        <v>112</v>
      </c>
      <c r="G13" s="366" t="s">
        <v>196</v>
      </c>
      <c r="H13" s="278">
        <v>2</v>
      </c>
    </row>
    <row r="14" spans="2:8" ht="17.25" thickBot="1" x14ac:dyDescent="0.35">
      <c r="B14" s="150" t="s">
        <v>297</v>
      </c>
      <c r="C14" s="365">
        <v>116</v>
      </c>
      <c r="D14" s="365">
        <v>118</v>
      </c>
      <c r="G14" s="366" t="s">
        <v>299</v>
      </c>
      <c r="H14" s="278"/>
    </row>
    <row r="15" spans="2:8" x14ac:dyDescent="0.3">
      <c r="B15" s="150" t="s">
        <v>298</v>
      </c>
      <c r="C15" s="365">
        <v>124</v>
      </c>
      <c r="D15" s="365">
        <f>D17</f>
        <v>136</v>
      </c>
      <c r="E15" t="s">
        <v>299</v>
      </c>
      <c r="H15" s="151"/>
    </row>
    <row r="16" spans="2:8" x14ac:dyDescent="0.3">
      <c r="B16" s="150" t="s">
        <v>296</v>
      </c>
      <c r="C16" s="365">
        <v>128</v>
      </c>
      <c r="D16" s="365">
        <v>130</v>
      </c>
      <c r="H16" s="151"/>
    </row>
    <row r="17" spans="2:15" ht="17.25" thickBot="1" x14ac:dyDescent="0.35">
      <c r="B17" s="366" t="s">
        <v>297</v>
      </c>
      <c r="C17" s="365">
        <v>134</v>
      </c>
      <c r="D17" s="365">
        <v>136</v>
      </c>
      <c r="E17" s="153" t="s">
        <v>300</v>
      </c>
      <c r="F17" s="153"/>
      <c r="G17" s="153"/>
      <c r="H17" s="154"/>
    </row>
    <row r="18" spans="2:15" x14ac:dyDescent="0.3">
      <c r="B18" s="145" t="s">
        <v>229</v>
      </c>
      <c r="C18" s="280"/>
      <c r="D18" s="280"/>
      <c r="E18" s="145"/>
      <c r="F18" s="145"/>
      <c r="G18" s="145"/>
      <c r="H18" s="145"/>
      <c r="I18" s="145"/>
      <c r="J18" s="145"/>
    </row>
    <row r="19" spans="2:15" s="235" customFormat="1" ht="17.25" thickBot="1" x14ac:dyDescent="0.35">
      <c r="C19" s="279"/>
      <c r="D19" s="279"/>
    </row>
    <row r="20" spans="2:15" x14ac:dyDescent="0.3">
      <c r="B20" s="146" t="s">
        <v>226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8"/>
    </row>
    <row r="21" spans="2:15" x14ac:dyDescent="0.3">
      <c r="B21" s="149" t="s">
        <v>152</v>
      </c>
      <c r="C21" s="138" t="s">
        <v>169</v>
      </c>
      <c r="D21" s="138" t="s">
        <v>19</v>
      </c>
      <c r="E21" s="138" t="s">
        <v>20</v>
      </c>
      <c r="F21" s="138" t="s">
        <v>82</v>
      </c>
      <c r="G21" s="139" t="s">
        <v>21</v>
      </c>
      <c r="H21" s="138" t="s">
        <v>22</v>
      </c>
      <c r="I21" s="138" t="s">
        <v>83</v>
      </c>
      <c r="J21" s="138" t="s">
        <v>23</v>
      </c>
      <c r="K21" s="138" t="s">
        <v>24</v>
      </c>
      <c r="L21" s="138" t="s">
        <v>25</v>
      </c>
      <c r="M21" s="139" t="s">
        <v>26</v>
      </c>
      <c r="N21" s="138" t="s">
        <v>27</v>
      </c>
      <c r="O21" s="140" t="s">
        <v>28</v>
      </c>
    </row>
    <row r="22" spans="2:15" x14ac:dyDescent="0.3">
      <c r="B22" s="150" t="s">
        <v>168</v>
      </c>
      <c r="C22" s="145">
        <f>SUM(D22:O22)</f>
        <v>1140</v>
      </c>
      <c r="D22" s="238">
        <v>50</v>
      </c>
      <c r="E22" s="238">
        <v>100</v>
      </c>
      <c r="F22" s="238">
        <v>150</v>
      </c>
      <c r="G22" s="238">
        <v>500</v>
      </c>
      <c r="H22" s="238">
        <v>200</v>
      </c>
      <c r="I22" s="238">
        <v>20</v>
      </c>
      <c r="J22" s="238">
        <v>20</v>
      </c>
      <c r="K22" s="238">
        <v>20</v>
      </c>
      <c r="L22" s="238">
        <v>20</v>
      </c>
      <c r="M22" s="238">
        <v>20</v>
      </c>
      <c r="N22" s="238">
        <v>20</v>
      </c>
      <c r="O22" s="239">
        <v>20</v>
      </c>
    </row>
    <row r="23" spans="2:15" x14ac:dyDescent="0.3">
      <c r="B23" s="167" t="s">
        <v>164</v>
      </c>
      <c r="C23" s="145">
        <f>SUM(D23:O23)</f>
        <v>950</v>
      </c>
      <c r="D23" s="238"/>
      <c r="E23" s="238">
        <v>100</v>
      </c>
      <c r="F23" s="238">
        <v>150</v>
      </c>
      <c r="G23" s="238">
        <v>500</v>
      </c>
      <c r="H23" s="238">
        <v>200</v>
      </c>
      <c r="I23" s="238"/>
      <c r="J23" s="238"/>
      <c r="K23" s="238"/>
      <c r="L23" s="238"/>
      <c r="M23" s="238"/>
      <c r="N23" s="238"/>
      <c r="O23" s="239"/>
    </row>
    <row r="24" spans="2:15" x14ac:dyDescent="0.3">
      <c r="B24" s="167" t="s">
        <v>165</v>
      </c>
      <c r="C24" s="145">
        <f>SUM(D24:O24)</f>
        <v>0</v>
      </c>
      <c r="D24" s="252"/>
      <c r="E24" s="252"/>
      <c r="F24" s="252"/>
      <c r="G24" s="253"/>
      <c r="H24" s="252"/>
      <c r="I24" s="252"/>
      <c r="J24" s="252"/>
      <c r="K24" s="252"/>
      <c r="L24" s="252"/>
      <c r="M24" s="253"/>
      <c r="N24" s="252"/>
      <c r="O24" s="254"/>
    </row>
    <row r="25" spans="2:15" x14ac:dyDescent="0.3">
      <c r="B25" s="167" t="s">
        <v>166</v>
      </c>
      <c r="C25" s="138"/>
      <c r="D25" s="138"/>
      <c r="E25" s="138"/>
      <c r="F25" s="138"/>
      <c r="G25" s="139"/>
      <c r="H25" s="138"/>
      <c r="I25" s="138"/>
      <c r="J25" s="138"/>
      <c r="K25" s="138"/>
      <c r="L25" s="138"/>
      <c r="M25" s="139"/>
      <c r="N25" s="138"/>
      <c r="O25" s="140"/>
    </row>
    <row r="26" spans="2:15" x14ac:dyDescent="0.3">
      <c r="B26" s="243" t="s">
        <v>174</v>
      </c>
      <c r="C26" s="244">
        <f>SUM(D26:O26)</f>
        <v>2090</v>
      </c>
      <c r="D26" s="244">
        <f>SUM(D22:D25)</f>
        <v>50</v>
      </c>
      <c r="E26" s="244">
        <f t="shared" ref="E26:O26" si="0">SUM(E22:E25)</f>
        <v>200</v>
      </c>
      <c r="F26" s="244">
        <f t="shared" si="0"/>
        <v>300</v>
      </c>
      <c r="G26" s="244">
        <f t="shared" si="0"/>
        <v>1000</v>
      </c>
      <c r="H26" s="244">
        <f t="shared" si="0"/>
        <v>400</v>
      </c>
      <c r="I26" s="244">
        <f t="shared" si="0"/>
        <v>20</v>
      </c>
      <c r="J26" s="244">
        <f t="shared" si="0"/>
        <v>20</v>
      </c>
      <c r="K26" s="244">
        <f t="shared" si="0"/>
        <v>20</v>
      </c>
      <c r="L26" s="244">
        <f t="shared" si="0"/>
        <v>20</v>
      </c>
      <c r="M26" s="244">
        <f t="shared" si="0"/>
        <v>20</v>
      </c>
      <c r="N26" s="244">
        <f t="shared" si="0"/>
        <v>20</v>
      </c>
      <c r="O26" s="245">
        <f t="shared" si="0"/>
        <v>20</v>
      </c>
    </row>
    <row r="27" spans="2:15" x14ac:dyDescent="0.3">
      <c r="B27" s="149" t="s">
        <v>152</v>
      </c>
      <c r="C27" s="138" t="s">
        <v>169</v>
      </c>
      <c r="D27" s="138" t="s">
        <v>19</v>
      </c>
      <c r="E27" s="138" t="s">
        <v>20</v>
      </c>
      <c r="F27" s="138" t="s">
        <v>82</v>
      </c>
      <c r="G27" s="139" t="s">
        <v>21</v>
      </c>
      <c r="H27" s="138" t="s">
        <v>22</v>
      </c>
      <c r="I27" s="138" t="s">
        <v>83</v>
      </c>
      <c r="J27" s="138" t="s">
        <v>23</v>
      </c>
      <c r="K27" s="138" t="s">
        <v>24</v>
      </c>
      <c r="L27" s="138" t="s">
        <v>25</v>
      </c>
      <c r="M27" s="139" t="s">
        <v>26</v>
      </c>
      <c r="N27" s="138" t="s">
        <v>27</v>
      </c>
      <c r="O27" s="140" t="s">
        <v>28</v>
      </c>
    </row>
    <row r="28" spans="2:15" x14ac:dyDescent="0.3">
      <c r="B28" s="251" t="s">
        <v>236</v>
      </c>
      <c r="C28" s="145">
        <f>SUM(D28:O28)</f>
        <v>1142.5</v>
      </c>
      <c r="D28" s="145">
        <f>D22*(1+D$35)</f>
        <v>50</v>
      </c>
      <c r="E28" s="145">
        <f t="shared" ref="E28:O28" si="1">E22*(1+E35)</f>
        <v>100</v>
      </c>
      <c r="F28" s="145">
        <f t="shared" si="1"/>
        <v>155.00000000000003</v>
      </c>
      <c r="G28" s="145">
        <f t="shared" si="1"/>
        <v>502.49999999999994</v>
      </c>
      <c r="H28" s="145">
        <f t="shared" si="1"/>
        <v>195</v>
      </c>
      <c r="I28" s="145">
        <f t="shared" si="1"/>
        <v>20</v>
      </c>
      <c r="J28" s="145">
        <f t="shared" si="1"/>
        <v>20</v>
      </c>
      <c r="K28" s="145">
        <f t="shared" si="1"/>
        <v>20</v>
      </c>
      <c r="L28" s="145">
        <f t="shared" si="1"/>
        <v>20</v>
      </c>
      <c r="M28" s="145">
        <f t="shared" si="1"/>
        <v>20</v>
      </c>
      <c r="N28" s="145">
        <f t="shared" si="1"/>
        <v>20</v>
      </c>
      <c r="O28" s="145">
        <f t="shared" si="1"/>
        <v>20</v>
      </c>
    </row>
    <row r="29" spans="2:15" x14ac:dyDescent="0.3">
      <c r="B29" s="167" t="s">
        <v>164</v>
      </c>
      <c r="C29" s="145">
        <f>SUM(D29:O29)</f>
        <v>952.5</v>
      </c>
      <c r="D29" s="145">
        <f t="shared" ref="D29:O30" si="2">D23*(1+D$35)</f>
        <v>0</v>
      </c>
      <c r="E29" s="145">
        <f t="shared" si="2"/>
        <v>100</v>
      </c>
      <c r="F29" s="145">
        <f t="shared" si="2"/>
        <v>155.00000000000003</v>
      </c>
      <c r="G29" s="145">
        <f t="shared" si="2"/>
        <v>502.49999999999994</v>
      </c>
      <c r="H29" s="145">
        <f t="shared" si="2"/>
        <v>195</v>
      </c>
      <c r="I29" s="145">
        <f t="shared" si="2"/>
        <v>0</v>
      </c>
      <c r="J29" s="145">
        <f t="shared" si="2"/>
        <v>0</v>
      </c>
      <c r="K29" s="145">
        <f t="shared" si="2"/>
        <v>0</v>
      </c>
      <c r="L29" s="145">
        <f t="shared" si="2"/>
        <v>0</v>
      </c>
      <c r="M29" s="145">
        <f t="shared" si="2"/>
        <v>0</v>
      </c>
      <c r="N29" s="145">
        <f t="shared" si="2"/>
        <v>0</v>
      </c>
      <c r="O29" s="145">
        <f t="shared" si="2"/>
        <v>0</v>
      </c>
    </row>
    <row r="30" spans="2:15" x14ac:dyDescent="0.3">
      <c r="B30" s="167" t="s">
        <v>165</v>
      </c>
      <c r="C30" s="145">
        <f>SUM(D30:O30)</f>
        <v>0</v>
      </c>
      <c r="D30" s="145">
        <f t="shared" si="2"/>
        <v>0</v>
      </c>
      <c r="E30" s="145">
        <f t="shared" si="2"/>
        <v>0</v>
      </c>
      <c r="F30" s="145">
        <f t="shared" si="2"/>
        <v>0</v>
      </c>
      <c r="G30" s="145">
        <f t="shared" si="2"/>
        <v>0</v>
      </c>
      <c r="H30" s="145">
        <f t="shared" si="2"/>
        <v>0</v>
      </c>
      <c r="I30" s="145">
        <f t="shared" si="2"/>
        <v>0</v>
      </c>
      <c r="J30" s="145">
        <f t="shared" si="2"/>
        <v>0</v>
      </c>
      <c r="K30" s="145">
        <f t="shared" si="2"/>
        <v>0</v>
      </c>
      <c r="L30" s="145">
        <f t="shared" si="2"/>
        <v>0</v>
      </c>
      <c r="M30" s="145">
        <f t="shared" si="2"/>
        <v>0</v>
      </c>
      <c r="N30" s="145">
        <f t="shared" si="2"/>
        <v>0</v>
      </c>
      <c r="O30" s="145">
        <f t="shared" si="2"/>
        <v>0</v>
      </c>
    </row>
    <row r="31" spans="2:15" x14ac:dyDescent="0.3">
      <c r="B31" s="167" t="s">
        <v>166</v>
      </c>
      <c r="C31" t="s">
        <v>85</v>
      </c>
      <c r="O31" s="151"/>
    </row>
    <row r="32" spans="2:15" ht="17.25" thickBot="1" x14ac:dyDescent="0.35">
      <c r="B32" s="240" t="s">
        <v>211</v>
      </c>
      <c r="C32" s="241">
        <f>SUM(D32:O32)</f>
        <v>2095</v>
      </c>
      <c r="D32" s="241">
        <f>SUM(D28:D31)</f>
        <v>50</v>
      </c>
      <c r="E32" s="241">
        <f t="shared" ref="E32:O32" si="3">SUM(E28:E31)</f>
        <v>200</v>
      </c>
      <c r="F32" s="241">
        <f t="shared" si="3"/>
        <v>310.00000000000006</v>
      </c>
      <c r="G32" s="241">
        <f t="shared" si="3"/>
        <v>1004.9999999999999</v>
      </c>
      <c r="H32" s="241">
        <f t="shared" si="3"/>
        <v>390</v>
      </c>
      <c r="I32" s="241">
        <f t="shared" si="3"/>
        <v>20</v>
      </c>
      <c r="J32" s="241">
        <f t="shared" si="3"/>
        <v>20</v>
      </c>
      <c r="K32" s="241">
        <f t="shared" si="3"/>
        <v>20</v>
      </c>
      <c r="L32" s="241">
        <f t="shared" si="3"/>
        <v>20</v>
      </c>
      <c r="M32" s="241">
        <f t="shared" si="3"/>
        <v>20</v>
      </c>
      <c r="N32" s="241">
        <f t="shared" si="3"/>
        <v>20</v>
      </c>
      <c r="O32" s="242">
        <f t="shared" si="3"/>
        <v>20</v>
      </c>
    </row>
    <row r="33" spans="1:15" x14ac:dyDescent="0.3">
      <c r="B33" s="149" t="s">
        <v>195</v>
      </c>
      <c r="C33" s="238">
        <v>2</v>
      </c>
      <c r="D33" s="138" t="s">
        <v>19</v>
      </c>
      <c r="E33" s="138" t="s">
        <v>20</v>
      </c>
      <c r="F33" s="138" t="s">
        <v>82</v>
      </c>
      <c r="G33" s="139" t="s">
        <v>21</v>
      </c>
      <c r="H33" s="138" t="s">
        <v>22</v>
      </c>
      <c r="I33" s="138" t="s">
        <v>83</v>
      </c>
      <c r="J33" s="138" t="s">
        <v>23</v>
      </c>
      <c r="K33" s="138" t="s">
        <v>24</v>
      </c>
      <c r="L33" s="138" t="s">
        <v>25</v>
      </c>
      <c r="M33" s="139" t="s">
        <v>26</v>
      </c>
      <c r="N33" s="138" t="s">
        <v>27</v>
      </c>
      <c r="O33" s="140" t="s">
        <v>28</v>
      </c>
    </row>
    <row r="34" spans="1:15" ht="33.75" thickBot="1" x14ac:dyDescent="0.35">
      <c r="B34" s="162" t="s">
        <v>162</v>
      </c>
      <c r="C34" s="246">
        <f>SUM(D34:O34)</f>
        <v>2095</v>
      </c>
      <c r="D34" s="152">
        <v>50</v>
      </c>
      <c r="E34" s="152">
        <v>200</v>
      </c>
      <c r="F34" s="152">
        <v>310</v>
      </c>
      <c r="G34" s="152">
        <v>1005</v>
      </c>
      <c r="H34" s="152">
        <v>390</v>
      </c>
      <c r="I34" s="152">
        <v>20</v>
      </c>
      <c r="J34" s="152">
        <v>20</v>
      </c>
      <c r="K34" s="152">
        <v>20</v>
      </c>
      <c r="L34" s="152">
        <v>20</v>
      </c>
      <c r="M34" s="152">
        <v>20</v>
      </c>
      <c r="N34" s="152">
        <v>20</v>
      </c>
      <c r="O34" s="175">
        <v>20</v>
      </c>
    </row>
    <row r="35" spans="1:15" ht="17.25" thickBot="1" x14ac:dyDescent="0.35">
      <c r="B35" s="247" t="s">
        <v>212</v>
      </c>
      <c r="C35" s="248"/>
      <c r="D35" s="249">
        <f>((D34-D26)/D26)</f>
        <v>0</v>
      </c>
      <c r="E35" s="249">
        <f t="shared" ref="E35:O35" si="4">((E34-E26)/E26)</f>
        <v>0</v>
      </c>
      <c r="F35" s="249">
        <f t="shared" si="4"/>
        <v>3.3333333333333333E-2</v>
      </c>
      <c r="G35" s="249">
        <f t="shared" si="4"/>
        <v>5.0000000000000001E-3</v>
      </c>
      <c r="H35" s="249">
        <f t="shared" si="4"/>
        <v>-2.5000000000000001E-2</v>
      </c>
      <c r="I35" s="249">
        <f t="shared" si="4"/>
        <v>0</v>
      </c>
      <c r="J35" s="249">
        <f t="shared" si="4"/>
        <v>0</v>
      </c>
      <c r="K35" s="249">
        <f t="shared" si="4"/>
        <v>0</v>
      </c>
      <c r="L35" s="249">
        <f t="shared" si="4"/>
        <v>0</v>
      </c>
      <c r="M35" s="249">
        <f t="shared" si="4"/>
        <v>0</v>
      </c>
      <c r="N35" s="249">
        <f t="shared" si="4"/>
        <v>0</v>
      </c>
      <c r="O35" s="250">
        <f t="shared" si="4"/>
        <v>0</v>
      </c>
    </row>
    <row r="36" spans="1:15" ht="17.25" thickBot="1" x14ac:dyDescent="0.35">
      <c r="F36" s="203" t="s">
        <v>189</v>
      </c>
      <c r="O36" s="151"/>
    </row>
    <row r="37" spans="1:15" x14ac:dyDescent="0.3">
      <c r="B37" s="176" t="s">
        <v>175</v>
      </c>
      <c r="C37" s="170" t="s">
        <v>169</v>
      </c>
      <c r="D37" s="170" t="s">
        <v>19</v>
      </c>
      <c r="E37" s="170" t="s">
        <v>20</v>
      </c>
      <c r="F37" s="170" t="s">
        <v>82</v>
      </c>
      <c r="G37" s="171" t="s">
        <v>21</v>
      </c>
      <c r="H37" s="170" t="s">
        <v>22</v>
      </c>
      <c r="I37" s="170" t="s">
        <v>83</v>
      </c>
      <c r="J37" s="170" t="s">
        <v>23</v>
      </c>
      <c r="K37" s="170" t="s">
        <v>24</v>
      </c>
      <c r="L37" s="170" t="s">
        <v>25</v>
      </c>
      <c r="M37" s="171" t="s">
        <v>26</v>
      </c>
      <c r="N37" s="170" t="s">
        <v>27</v>
      </c>
      <c r="O37" s="172" t="s">
        <v>28</v>
      </c>
    </row>
    <row r="38" spans="1:15" ht="17.25" thickBot="1" x14ac:dyDescent="0.35">
      <c r="B38" s="197" t="s">
        <v>183</v>
      </c>
      <c r="C38" s="153">
        <f>SUM(D38:O38)</f>
        <v>2150</v>
      </c>
      <c r="D38" s="153">
        <v>100</v>
      </c>
      <c r="E38" s="153">
        <v>200</v>
      </c>
      <c r="F38" s="153">
        <v>300</v>
      </c>
      <c r="G38" s="153">
        <v>400</v>
      </c>
      <c r="H38" s="153">
        <v>500</v>
      </c>
      <c r="I38" s="153">
        <v>600</v>
      </c>
      <c r="J38" s="153">
        <v>50</v>
      </c>
      <c r="K38" s="153"/>
      <c r="L38" s="153"/>
      <c r="M38" s="153"/>
      <c r="N38" s="153"/>
      <c r="O38" s="154"/>
    </row>
    <row r="39" spans="1:15" ht="17.25" thickBot="1" x14ac:dyDescent="0.35">
      <c r="B39" s="149" t="s">
        <v>196</v>
      </c>
      <c r="C39" s="152">
        <v>3</v>
      </c>
      <c r="D39" s="138" t="s">
        <v>19</v>
      </c>
      <c r="E39" s="138" t="s">
        <v>20</v>
      </c>
      <c r="F39" s="138" t="s">
        <v>82</v>
      </c>
      <c r="G39" s="139" t="s">
        <v>21</v>
      </c>
      <c r="H39" s="138" t="s">
        <v>22</v>
      </c>
      <c r="I39" s="138" t="s">
        <v>83</v>
      </c>
      <c r="J39" s="138" t="s">
        <v>23</v>
      </c>
      <c r="K39" s="138" t="s">
        <v>24</v>
      </c>
      <c r="L39" s="138" t="s">
        <v>25</v>
      </c>
      <c r="M39" s="139" t="s">
        <v>26</v>
      </c>
      <c r="N39" s="138" t="s">
        <v>27</v>
      </c>
      <c r="O39" s="140" t="s">
        <v>28</v>
      </c>
    </row>
    <row r="40" spans="1:15" ht="33.75" thickBot="1" x14ac:dyDescent="0.35">
      <c r="B40" s="162" t="s">
        <v>185</v>
      </c>
      <c r="C40" s="168">
        <f>SUM(D40:O40)</f>
        <v>2195</v>
      </c>
      <c r="D40" s="152">
        <v>100</v>
      </c>
      <c r="E40" s="152">
        <v>190</v>
      </c>
      <c r="F40" s="152">
        <v>290</v>
      </c>
      <c r="G40" s="152">
        <v>420</v>
      </c>
      <c r="H40" s="152">
        <v>500</v>
      </c>
      <c r="I40" s="152">
        <v>600</v>
      </c>
      <c r="J40" s="152">
        <v>45</v>
      </c>
      <c r="K40" s="152"/>
      <c r="L40" s="152">
        <v>50</v>
      </c>
      <c r="M40" s="152"/>
      <c r="N40" s="152"/>
      <c r="O40" s="175"/>
    </row>
    <row r="41" spans="1:15" ht="17.25" thickBot="1" x14ac:dyDescent="0.35">
      <c r="B41" s="153" t="s">
        <v>197</v>
      </c>
      <c r="C41" s="168">
        <f>+C39+C33</f>
        <v>5</v>
      </c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4"/>
    </row>
    <row r="42" spans="1:15" x14ac:dyDescent="0.3">
      <c r="A42" t="s">
        <v>178</v>
      </c>
      <c r="B42" s="173" t="s">
        <v>176</v>
      </c>
      <c r="C42" s="170" t="s">
        <v>169</v>
      </c>
      <c r="D42" s="170" t="s">
        <v>19</v>
      </c>
      <c r="E42" s="170" t="s">
        <v>20</v>
      </c>
      <c r="F42" s="170" t="s">
        <v>82</v>
      </c>
      <c r="G42" s="171" t="s">
        <v>21</v>
      </c>
      <c r="H42" s="170" t="s">
        <v>22</v>
      </c>
      <c r="I42" s="170" t="s">
        <v>83</v>
      </c>
      <c r="J42" s="170" t="s">
        <v>23</v>
      </c>
      <c r="K42" s="170" t="s">
        <v>24</v>
      </c>
      <c r="L42" s="170" t="s">
        <v>25</v>
      </c>
      <c r="M42" s="171" t="s">
        <v>26</v>
      </c>
      <c r="N42" s="170" t="s">
        <v>27</v>
      </c>
      <c r="O42" s="172" t="s">
        <v>28</v>
      </c>
    </row>
    <row r="43" spans="1:15" ht="17.25" thickBot="1" x14ac:dyDescent="0.35">
      <c r="B43" s="174" t="s">
        <v>173</v>
      </c>
      <c r="C43" s="168">
        <f>SUM(D43:O43)</f>
        <v>4245</v>
      </c>
      <c r="D43" s="168">
        <f t="shared" ref="D43:O43" si="5">+D38+D32</f>
        <v>150</v>
      </c>
      <c r="E43" s="168">
        <f t="shared" si="5"/>
        <v>400</v>
      </c>
      <c r="F43" s="168">
        <f t="shared" si="5"/>
        <v>610</v>
      </c>
      <c r="G43" s="168">
        <f t="shared" si="5"/>
        <v>1405</v>
      </c>
      <c r="H43" s="168">
        <f t="shared" si="5"/>
        <v>890</v>
      </c>
      <c r="I43" s="168">
        <f t="shared" si="5"/>
        <v>620</v>
      </c>
      <c r="J43" s="168">
        <f t="shared" si="5"/>
        <v>70</v>
      </c>
      <c r="K43" s="168">
        <f t="shared" si="5"/>
        <v>20</v>
      </c>
      <c r="L43" s="168">
        <f t="shared" si="5"/>
        <v>20</v>
      </c>
      <c r="M43" s="168">
        <f t="shared" si="5"/>
        <v>20</v>
      </c>
      <c r="N43" s="168">
        <f t="shared" si="5"/>
        <v>20</v>
      </c>
      <c r="O43" s="169">
        <f t="shared" si="5"/>
        <v>20</v>
      </c>
    </row>
    <row r="44" spans="1:15" ht="17.25" thickBot="1" x14ac:dyDescent="0.35">
      <c r="B44" s="166"/>
    </row>
    <row r="45" spans="1:15" x14ac:dyDescent="0.3">
      <c r="A45" t="s">
        <v>179</v>
      </c>
      <c r="B45" s="173" t="s">
        <v>177</v>
      </c>
      <c r="C45" s="170" t="s">
        <v>169</v>
      </c>
      <c r="D45" s="170" t="s">
        <v>19</v>
      </c>
      <c r="E45" s="170" t="s">
        <v>20</v>
      </c>
      <c r="F45" s="170" t="s">
        <v>82</v>
      </c>
      <c r="G45" s="171" t="s">
        <v>21</v>
      </c>
      <c r="H45" s="170" t="s">
        <v>22</v>
      </c>
      <c r="I45" s="170" t="s">
        <v>83</v>
      </c>
      <c r="J45" s="170" t="s">
        <v>23</v>
      </c>
      <c r="K45" s="170" t="s">
        <v>24</v>
      </c>
      <c r="L45" s="170" t="s">
        <v>25</v>
      </c>
      <c r="M45" s="171" t="s">
        <v>26</v>
      </c>
      <c r="N45" s="170" t="s">
        <v>27</v>
      </c>
      <c r="O45" s="172" t="s">
        <v>28</v>
      </c>
    </row>
    <row r="46" spans="1:15" ht="17.25" thickBot="1" x14ac:dyDescent="0.35">
      <c r="B46" s="174" t="s">
        <v>173</v>
      </c>
      <c r="C46" s="168">
        <f>SUM(D46:O46)</f>
        <v>4290</v>
      </c>
      <c r="D46" s="168">
        <f t="shared" ref="D46:O46" si="6">D40+D34</f>
        <v>150</v>
      </c>
      <c r="E46" s="168">
        <f t="shared" si="6"/>
        <v>390</v>
      </c>
      <c r="F46" s="168">
        <f t="shared" si="6"/>
        <v>600</v>
      </c>
      <c r="G46" s="168">
        <f t="shared" si="6"/>
        <v>1425</v>
      </c>
      <c r="H46" s="168">
        <f t="shared" si="6"/>
        <v>890</v>
      </c>
      <c r="I46" s="168">
        <f t="shared" si="6"/>
        <v>620</v>
      </c>
      <c r="J46" s="168">
        <f t="shared" si="6"/>
        <v>65</v>
      </c>
      <c r="K46" s="168">
        <f t="shared" si="6"/>
        <v>20</v>
      </c>
      <c r="L46" s="168">
        <f t="shared" si="6"/>
        <v>70</v>
      </c>
      <c r="M46" s="168">
        <f t="shared" si="6"/>
        <v>20</v>
      </c>
      <c r="N46" s="168">
        <f t="shared" si="6"/>
        <v>20</v>
      </c>
      <c r="O46" s="169">
        <f t="shared" si="6"/>
        <v>20</v>
      </c>
    </row>
    <row r="47" spans="1:15" ht="17.25" thickBot="1" x14ac:dyDescent="0.35">
      <c r="B47" s="166"/>
    </row>
    <row r="48" spans="1:15" x14ac:dyDescent="0.3">
      <c r="B48" s="155" t="s">
        <v>147</v>
      </c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1"/>
    </row>
    <row r="49" spans="2:15" x14ac:dyDescent="0.3">
      <c r="B49" s="135"/>
      <c r="C49" s="136" t="s">
        <v>92</v>
      </c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7"/>
    </row>
    <row r="50" spans="2:15" x14ac:dyDescent="0.3">
      <c r="B50" s="137" t="s">
        <v>160</v>
      </c>
      <c r="C50" s="136" t="s">
        <v>91</v>
      </c>
      <c r="D50" s="136" t="s">
        <v>19</v>
      </c>
      <c r="E50" s="136" t="s">
        <v>20</v>
      </c>
      <c r="F50" s="136" t="s">
        <v>82</v>
      </c>
      <c r="G50" s="158" t="s">
        <v>21</v>
      </c>
      <c r="H50" s="136" t="s">
        <v>22</v>
      </c>
      <c r="I50" s="136" t="s">
        <v>83</v>
      </c>
      <c r="J50" s="136" t="s">
        <v>23</v>
      </c>
      <c r="K50" s="136" t="s">
        <v>24</v>
      </c>
      <c r="L50" s="136" t="s">
        <v>25</v>
      </c>
      <c r="M50" s="158" t="s">
        <v>26</v>
      </c>
      <c r="N50" s="136" t="s">
        <v>27</v>
      </c>
      <c r="O50" s="159" t="s">
        <v>28</v>
      </c>
    </row>
    <row r="51" spans="2:15" x14ac:dyDescent="0.3">
      <c r="B51" s="135"/>
      <c r="C51" s="156" t="s">
        <v>18</v>
      </c>
      <c r="D51" s="160">
        <f>'Fleet Data Input and Reports '!D62</f>
        <v>29</v>
      </c>
      <c r="E51" s="160">
        <f>'Fleet Data Input and Reports '!E62</f>
        <v>28.5</v>
      </c>
      <c r="F51" s="160">
        <f>'Fleet Data Input and Reports '!F62</f>
        <v>25.2</v>
      </c>
      <c r="G51" s="160">
        <f>'Fleet Data Input and Reports '!G62</f>
        <v>19.3</v>
      </c>
      <c r="H51" s="160">
        <f>'Fleet Data Input and Reports '!H62</f>
        <v>15.75</v>
      </c>
      <c r="I51" s="160">
        <f>'Fleet Data Input and Reports '!I62</f>
        <v>12.85</v>
      </c>
      <c r="J51" s="160">
        <f>'Fleet Data Input and Reports '!J62</f>
        <v>10.199999999999999</v>
      </c>
      <c r="K51" s="160">
        <f>'Fleet Data Input and Reports '!K62</f>
        <v>11</v>
      </c>
      <c r="L51" s="160">
        <f>'Fleet Data Input and Reports '!L62</f>
        <v>13.5</v>
      </c>
      <c r="M51" s="160">
        <f>'Fleet Data Input and Reports '!M62</f>
        <v>19.8</v>
      </c>
      <c r="N51" s="160">
        <f>'Fleet Data Input and Reports '!N62</f>
        <v>19.399999999999999</v>
      </c>
      <c r="O51" s="160">
        <f>'Fleet Data Input and Reports '!O62</f>
        <v>12.95</v>
      </c>
    </row>
    <row r="52" spans="2:15" x14ac:dyDescent="0.3">
      <c r="B52" s="135"/>
      <c r="C52" s="156" t="s">
        <v>29</v>
      </c>
      <c r="D52" s="160">
        <f>'Fleet Data Input and Reports '!D63</f>
        <v>27.5</v>
      </c>
      <c r="E52" s="160">
        <f>'Fleet Data Input and Reports '!E63</f>
        <v>27</v>
      </c>
      <c r="F52" s="160">
        <f>'Fleet Data Input and Reports '!F63</f>
        <v>24.8</v>
      </c>
      <c r="G52" s="160">
        <f>'Fleet Data Input and Reports '!G63</f>
        <v>18.100000000000001</v>
      </c>
      <c r="H52" s="160">
        <f>'Fleet Data Input and Reports '!H63</f>
        <v>14.9</v>
      </c>
      <c r="I52" s="160">
        <f>'Fleet Data Input and Reports '!I63</f>
        <v>12.2</v>
      </c>
      <c r="J52" s="160">
        <f>'Fleet Data Input and Reports '!J63</f>
        <v>8.5</v>
      </c>
      <c r="K52" s="160">
        <f>'Fleet Data Input and Reports '!K63</f>
        <v>10</v>
      </c>
      <c r="L52" s="160">
        <f>'Fleet Data Input and Reports '!L63</f>
        <v>12.9</v>
      </c>
      <c r="M52" s="160">
        <f>'Fleet Data Input and Reports '!M63</f>
        <v>18.899999999999999</v>
      </c>
      <c r="N52" s="160">
        <f>'Fleet Data Input and Reports '!N63</f>
        <v>19</v>
      </c>
      <c r="O52" s="160">
        <f>'Fleet Data Input and Reports '!O63</f>
        <v>12.1</v>
      </c>
    </row>
    <row r="53" spans="2:15" x14ac:dyDescent="0.3">
      <c r="B53" s="135"/>
      <c r="C53" s="156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1"/>
    </row>
    <row r="54" spans="2:15" x14ac:dyDescent="0.3">
      <c r="B54" s="177" t="s">
        <v>161</v>
      </c>
      <c r="C54" s="178" t="s">
        <v>90</v>
      </c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1"/>
    </row>
    <row r="55" spans="2:15" x14ac:dyDescent="0.3">
      <c r="B55" s="137" t="s">
        <v>160</v>
      </c>
      <c r="C55" s="136" t="s">
        <v>91</v>
      </c>
      <c r="D55" s="136" t="s">
        <v>19</v>
      </c>
      <c r="E55" s="136" t="s">
        <v>20</v>
      </c>
      <c r="F55" s="136" t="s">
        <v>82</v>
      </c>
      <c r="G55" s="158" t="s">
        <v>21</v>
      </c>
      <c r="H55" s="136" t="s">
        <v>22</v>
      </c>
      <c r="I55" s="136" t="s">
        <v>83</v>
      </c>
      <c r="J55" s="136" t="s">
        <v>23</v>
      </c>
      <c r="K55" s="136" t="s">
        <v>24</v>
      </c>
      <c r="L55" s="136" t="s">
        <v>25</v>
      </c>
      <c r="M55" s="158" t="s">
        <v>26</v>
      </c>
      <c r="N55" s="136" t="s">
        <v>27</v>
      </c>
      <c r="O55" s="159" t="s">
        <v>28</v>
      </c>
    </row>
    <row r="56" spans="2:15" x14ac:dyDescent="0.3">
      <c r="B56" s="177" t="s">
        <v>161</v>
      </c>
      <c r="C56" s="178" t="s">
        <v>18</v>
      </c>
      <c r="D56" s="160">
        <f>'Fleet Data Input and Reports '!D67</f>
        <v>29</v>
      </c>
      <c r="E56" s="160">
        <f>'Fleet Data Input and Reports '!E67</f>
        <v>28.5</v>
      </c>
      <c r="F56" s="160">
        <f>'Fleet Data Input and Reports '!F67</f>
        <v>25.2</v>
      </c>
      <c r="G56" s="160">
        <f>'Fleet Data Input and Reports '!G67</f>
        <v>19.3</v>
      </c>
      <c r="H56" s="160">
        <f>'Fleet Data Input and Reports '!H67</f>
        <v>15.75</v>
      </c>
      <c r="I56" s="160">
        <f>'Fleet Data Input and Reports '!I67</f>
        <v>12.85</v>
      </c>
      <c r="J56" s="160">
        <f>'Fleet Data Input and Reports '!J67</f>
        <v>10.199999999999999</v>
      </c>
      <c r="K56" s="160">
        <f>'Fleet Data Input and Reports '!K67</f>
        <v>11</v>
      </c>
      <c r="L56" s="160">
        <f>'Fleet Data Input and Reports '!L67</f>
        <v>13.5</v>
      </c>
      <c r="M56" s="160">
        <f>'Fleet Data Input and Reports '!M67</f>
        <v>19.8</v>
      </c>
      <c r="N56" s="160">
        <f>'Fleet Data Input and Reports '!N67</f>
        <v>19.399999999999999</v>
      </c>
      <c r="O56" s="160">
        <f>'Fleet Data Input and Reports '!O67</f>
        <v>12.95</v>
      </c>
    </row>
    <row r="57" spans="2:15" x14ac:dyDescent="0.3">
      <c r="B57" s="135"/>
      <c r="C57" s="156" t="s">
        <v>29</v>
      </c>
      <c r="D57" s="160">
        <f>'Fleet Data Input and Reports '!D68</f>
        <v>27.5</v>
      </c>
      <c r="E57" s="160">
        <f>'Fleet Data Input and Reports '!E68</f>
        <v>27</v>
      </c>
      <c r="F57" s="160">
        <f>'Fleet Data Input and Reports '!F68</f>
        <v>24.8</v>
      </c>
      <c r="G57" s="160">
        <f>'Fleet Data Input and Reports '!G68</f>
        <v>18.100000000000001</v>
      </c>
      <c r="H57" s="160">
        <f>'Fleet Data Input and Reports '!H68</f>
        <v>14.9</v>
      </c>
      <c r="I57" s="160">
        <f>'Fleet Data Input and Reports '!I68</f>
        <v>12.2</v>
      </c>
      <c r="J57" s="160">
        <f>'Fleet Data Input and Reports '!J68</f>
        <v>8.5</v>
      </c>
      <c r="K57" s="160">
        <f>'Fleet Data Input and Reports '!K68</f>
        <v>10</v>
      </c>
      <c r="L57" s="160">
        <f>'Fleet Data Input and Reports '!L68</f>
        <v>12.9</v>
      </c>
      <c r="M57" s="160">
        <f>'Fleet Data Input and Reports '!M68</f>
        <v>18.899999999999999</v>
      </c>
      <c r="N57" s="160">
        <f>'Fleet Data Input and Reports '!N68</f>
        <v>19</v>
      </c>
      <c r="O57" s="160">
        <f>'Fleet Data Input and Reports '!O68</f>
        <v>12.1</v>
      </c>
    </row>
    <row r="58" spans="2:15" x14ac:dyDescent="0.3">
      <c r="B58" s="135"/>
      <c r="C58" s="156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</row>
    <row r="59" spans="2:15" x14ac:dyDescent="0.3">
      <c r="B59" s="135"/>
      <c r="C59" s="136" t="s">
        <v>88</v>
      </c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1"/>
    </row>
    <row r="60" spans="2:15" x14ac:dyDescent="0.3">
      <c r="B60" s="137" t="s">
        <v>160</v>
      </c>
      <c r="C60" s="136" t="s">
        <v>91</v>
      </c>
      <c r="D60" s="136" t="s">
        <v>19</v>
      </c>
      <c r="E60" s="136" t="s">
        <v>20</v>
      </c>
      <c r="F60" s="136" t="s">
        <v>82</v>
      </c>
      <c r="G60" s="158" t="s">
        <v>21</v>
      </c>
      <c r="H60" s="136" t="s">
        <v>22</v>
      </c>
      <c r="I60" s="136" t="s">
        <v>83</v>
      </c>
      <c r="J60" s="136" t="s">
        <v>23</v>
      </c>
      <c r="K60" s="136" t="s">
        <v>24</v>
      </c>
      <c r="L60" s="136" t="s">
        <v>25</v>
      </c>
      <c r="M60" s="158" t="s">
        <v>26</v>
      </c>
      <c r="N60" s="136" t="s">
        <v>27</v>
      </c>
      <c r="O60" s="159" t="s">
        <v>28</v>
      </c>
    </row>
    <row r="61" spans="2:15" x14ac:dyDescent="0.3">
      <c r="B61" s="135"/>
      <c r="C61" s="156" t="s">
        <v>18</v>
      </c>
      <c r="D61" s="160">
        <f>'Fleet Data Input and Reports '!D72</f>
        <v>29</v>
      </c>
      <c r="E61" s="160">
        <f>'Fleet Data Input and Reports '!E72</f>
        <v>28.5</v>
      </c>
      <c r="F61" s="160">
        <f>'Fleet Data Input and Reports '!F72</f>
        <v>25.2</v>
      </c>
      <c r="G61" s="160">
        <f>'Fleet Data Input and Reports '!G72</f>
        <v>19.3</v>
      </c>
      <c r="H61" s="160">
        <f>'Fleet Data Input and Reports '!H72</f>
        <v>15.75</v>
      </c>
      <c r="I61" s="160">
        <f>'Fleet Data Input and Reports '!I72</f>
        <v>12.85</v>
      </c>
      <c r="J61" s="160">
        <f>'Fleet Data Input and Reports '!J72</f>
        <v>10.199999999999999</v>
      </c>
      <c r="K61" s="160">
        <f>'Fleet Data Input and Reports '!K72</f>
        <v>11</v>
      </c>
      <c r="L61" s="160">
        <f>'Fleet Data Input and Reports '!L72</f>
        <v>13.5</v>
      </c>
      <c r="M61" s="160">
        <f>'Fleet Data Input and Reports '!M72</f>
        <v>19.8</v>
      </c>
      <c r="N61" s="160">
        <f>'Fleet Data Input and Reports '!N72</f>
        <v>19.399999999999999</v>
      </c>
      <c r="O61" s="160">
        <f>'Fleet Data Input and Reports '!O72</f>
        <v>12.95</v>
      </c>
    </row>
    <row r="62" spans="2:15" x14ac:dyDescent="0.3">
      <c r="B62" s="135"/>
      <c r="C62" s="156" t="s">
        <v>29</v>
      </c>
      <c r="D62" s="160">
        <f>'Fleet Data Input and Reports '!D73</f>
        <v>27.5</v>
      </c>
      <c r="E62" s="160">
        <f>'Fleet Data Input and Reports '!E73</f>
        <v>27</v>
      </c>
      <c r="F62" s="160">
        <f>'Fleet Data Input and Reports '!F73</f>
        <v>24.8</v>
      </c>
      <c r="G62" s="160">
        <f>'Fleet Data Input and Reports '!G73</f>
        <v>18.100000000000001</v>
      </c>
      <c r="H62" s="160">
        <f>'Fleet Data Input and Reports '!H73</f>
        <v>14.9</v>
      </c>
      <c r="I62" s="160">
        <f>'Fleet Data Input and Reports '!I73</f>
        <v>12.2</v>
      </c>
      <c r="J62" s="160">
        <f>'Fleet Data Input and Reports '!J73</f>
        <v>8.5</v>
      </c>
      <c r="K62" s="160">
        <f>'Fleet Data Input and Reports '!K73</f>
        <v>10</v>
      </c>
      <c r="L62" s="160">
        <f>'Fleet Data Input and Reports '!L73</f>
        <v>12.9</v>
      </c>
      <c r="M62" s="160">
        <f>'Fleet Data Input and Reports '!M73</f>
        <v>18.899999999999999</v>
      </c>
      <c r="N62" s="160">
        <f>'Fleet Data Input and Reports '!N73</f>
        <v>19</v>
      </c>
      <c r="O62" s="160">
        <f>'Fleet Data Input and Reports '!O73</f>
        <v>12.1</v>
      </c>
    </row>
    <row r="63" spans="2:15" ht="17.25" thickBot="1" x14ac:dyDescent="0.35">
      <c r="B63" s="87"/>
      <c r="C63" s="143"/>
      <c r="D63" s="143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49"/>
    </row>
    <row r="64" spans="2:15" x14ac:dyDescent="0.3">
      <c r="B64" s="41" t="s">
        <v>180</v>
      </c>
      <c r="C64" s="179" t="s">
        <v>103</v>
      </c>
      <c r="D64" s="170" t="s">
        <v>19</v>
      </c>
      <c r="E64" s="170" t="s">
        <v>20</v>
      </c>
      <c r="F64" s="170" t="s">
        <v>82</v>
      </c>
      <c r="G64" s="171" t="s">
        <v>21</v>
      </c>
      <c r="H64" s="170" t="s">
        <v>22</v>
      </c>
      <c r="I64" s="170" t="s">
        <v>83</v>
      </c>
      <c r="J64" s="170" t="s">
        <v>23</v>
      </c>
      <c r="K64" s="170" t="s">
        <v>24</v>
      </c>
      <c r="L64" s="170" t="s">
        <v>25</v>
      </c>
      <c r="M64" s="171" t="s">
        <v>26</v>
      </c>
      <c r="N64" s="170" t="s">
        <v>27</v>
      </c>
      <c r="O64" s="172" t="s">
        <v>28</v>
      </c>
    </row>
    <row r="65" spans="2:15" x14ac:dyDescent="0.3">
      <c r="B65" s="180" t="s">
        <v>167</v>
      </c>
      <c r="C65" s="163">
        <f>SUM(D65:O65)</f>
        <v>22969.5</v>
      </c>
      <c r="D65" s="70">
        <f>D56*D28</f>
        <v>1450</v>
      </c>
      <c r="E65" s="70">
        <f t="shared" ref="D65:O65" si="7">E56*E28</f>
        <v>2850</v>
      </c>
      <c r="F65" s="70">
        <f t="shared" si="7"/>
        <v>3906.0000000000005</v>
      </c>
      <c r="G65" s="70">
        <f t="shared" si="7"/>
        <v>9698.25</v>
      </c>
      <c r="H65" s="70">
        <f t="shared" si="7"/>
        <v>3071.25</v>
      </c>
      <c r="I65" s="70">
        <f t="shared" si="7"/>
        <v>257</v>
      </c>
      <c r="J65" s="70">
        <f t="shared" si="7"/>
        <v>204</v>
      </c>
      <c r="K65" s="70">
        <f t="shared" si="7"/>
        <v>220</v>
      </c>
      <c r="L65" s="70">
        <f t="shared" si="7"/>
        <v>270</v>
      </c>
      <c r="M65" s="70">
        <f t="shared" si="7"/>
        <v>396</v>
      </c>
      <c r="N65" s="70">
        <f t="shared" si="7"/>
        <v>388</v>
      </c>
      <c r="O65" s="181">
        <f t="shared" si="7"/>
        <v>259</v>
      </c>
    </row>
    <row r="66" spans="2:15" x14ac:dyDescent="0.3">
      <c r="B66" s="182" t="s">
        <v>164</v>
      </c>
      <c r="C66" s="163">
        <f>SUM(D66:O66)</f>
        <v>18544.75</v>
      </c>
      <c r="D66" s="70">
        <f t="shared" ref="D66:O66" si="8">D57*D29</f>
        <v>0</v>
      </c>
      <c r="E66" s="70">
        <f t="shared" si="8"/>
        <v>2700</v>
      </c>
      <c r="F66" s="70">
        <f t="shared" si="8"/>
        <v>3844.0000000000009</v>
      </c>
      <c r="G66" s="70">
        <f t="shared" si="8"/>
        <v>9095.25</v>
      </c>
      <c r="H66" s="70">
        <f t="shared" si="8"/>
        <v>2905.5</v>
      </c>
      <c r="I66" s="70">
        <f t="shared" si="8"/>
        <v>0</v>
      </c>
      <c r="J66" s="70">
        <f t="shared" si="8"/>
        <v>0</v>
      </c>
      <c r="K66" s="70">
        <f t="shared" si="8"/>
        <v>0</v>
      </c>
      <c r="L66" s="70">
        <f t="shared" si="8"/>
        <v>0</v>
      </c>
      <c r="M66" s="70">
        <f t="shared" si="8"/>
        <v>0</v>
      </c>
      <c r="N66" s="70">
        <f t="shared" si="8"/>
        <v>0</v>
      </c>
      <c r="O66" s="181">
        <f t="shared" si="8"/>
        <v>0</v>
      </c>
    </row>
    <row r="67" spans="2:15" ht="17.25" thickBot="1" x14ac:dyDescent="0.35">
      <c r="B67" s="183" t="s">
        <v>165</v>
      </c>
      <c r="C67" s="184">
        <f>SUM(D67:O67)</f>
        <v>0</v>
      </c>
      <c r="D67" s="185">
        <f t="shared" ref="D67:O67" si="9">D58*D30</f>
        <v>0</v>
      </c>
      <c r="E67" s="185">
        <f t="shared" si="9"/>
        <v>0</v>
      </c>
      <c r="F67" s="185">
        <f t="shared" si="9"/>
        <v>0</v>
      </c>
      <c r="G67" s="185">
        <f t="shared" si="9"/>
        <v>0</v>
      </c>
      <c r="H67" s="185">
        <f t="shared" si="9"/>
        <v>0</v>
      </c>
      <c r="I67" s="185">
        <f t="shared" si="9"/>
        <v>0</v>
      </c>
      <c r="J67" s="185">
        <f t="shared" si="9"/>
        <v>0</v>
      </c>
      <c r="K67" s="185">
        <f t="shared" si="9"/>
        <v>0</v>
      </c>
      <c r="L67" s="185">
        <f t="shared" si="9"/>
        <v>0</v>
      </c>
      <c r="M67" s="185">
        <f t="shared" si="9"/>
        <v>0</v>
      </c>
      <c r="N67" s="185">
        <f t="shared" si="9"/>
        <v>0</v>
      </c>
      <c r="O67" s="186">
        <f t="shared" si="9"/>
        <v>0</v>
      </c>
    </row>
    <row r="68" spans="2:15" ht="17.25" thickBot="1" x14ac:dyDescent="0.35">
      <c r="B68" s="44"/>
      <c r="C68" s="90" t="s">
        <v>166</v>
      </c>
      <c r="D68" s="90"/>
      <c r="E68" s="1"/>
      <c r="F68" s="1"/>
      <c r="G68" s="1"/>
      <c r="H68" s="1"/>
      <c r="I68" s="1"/>
      <c r="J68" s="1"/>
      <c r="K68" s="1"/>
      <c r="L68" s="1"/>
      <c r="M68" s="1"/>
      <c r="N68" s="1"/>
      <c r="O68" s="45"/>
    </row>
    <row r="69" spans="2:15" ht="17.25" thickBot="1" x14ac:dyDescent="0.35">
      <c r="B69" s="187" t="s">
        <v>181</v>
      </c>
      <c r="C69" s="188">
        <f>SUM(D69:O69)</f>
        <v>41514.25</v>
      </c>
      <c r="D69" s="188">
        <f>SUM(D65:D68)</f>
        <v>1450</v>
      </c>
      <c r="E69" s="188">
        <f t="shared" ref="E69:O69" si="10">SUM(E65:E68)</f>
        <v>5550</v>
      </c>
      <c r="F69" s="188">
        <f t="shared" si="10"/>
        <v>7750.0000000000018</v>
      </c>
      <c r="G69" s="188">
        <f t="shared" si="10"/>
        <v>18793.5</v>
      </c>
      <c r="H69" s="188">
        <f t="shared" si="10"/>
        <v>5976.75</v>
      </c>
      <c r="I69" s="188">
        <f t="shared" si="10"/>
        <v>257</v>
      </c>
      <c r="J69" s="188">
        <f t="shared" si="10"/>
        <v>204</v>
      </c>
      <c r="K69" s="188">
        <f t="shared" si="10"/>
        <v>220</v>
      </c>
      <c r="L69" s="188">
        <f t="shared" si="10"/>
        <v>270</v>
      </c>
      <c r="M69" s="188">
        <f t="shared" si="10"/>
        <v>396</v>
      </c>
      <c r="N69" s="188">
        <f t="shared" si="10"/>
        <v>388</v>
      </c>
      <c r="O69" s="189">
        <f t="shared" si="10"/>
        <v>259</v>
      </c>
    </row>
    <row r="70" spans="2:15" ht="17.25" thickBot="1" x14ac:dyDescent="0.35">
      <c r="B70" s="190" t="s">
        <v>184</v>
      </c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</row>
    <row r="71" spans="2:15" ht="17.25" thickBot="1" x14ac:dyDescent="0.35">
      <c r="B71" s="195" t="s">
        <v>186</v>
      </c>
      <c r="C71" s="191">
        <f>SUM(D71:O71)</f>
        <v>39975</v>
      </c>
      <c r="D71" s="191">
        <f>D38*D56</f>
        <v>2900</v>
      </c>
      <c r="E71" s="191">
        <f t="shared" ref="E71:O71" si="11">E38*E56</f>
        <v>5700</v>
      </c>
      <c r="F71" s="191">
        <f t="shared" si="11"/>
        <v>7560</v>
      </c>
      <c r="G71" s="191">
        <f t="shared" si="11"/>
        <v>7720</v>
      </c>
      <c r="H71" s="191">
        <f t="shared" si="11"/>
        <v>7875</v>
      </c>
      <c r="I71" s="191">
        <f t="shared" si="11"/>
        <v>7710</v>
      </c>
      <c r="J71" s="191">
        <f t="shared" si="11"/>
        <v>509.99999999999994</v>
      </c>
      <c r="K71" s="191">
        <f t="shared" si="11"/>
        <v>0</v>
      </c>
      <c r="L71" s="191">
        <f t="shared" si="11"/>
        <v>0</v>
      </c>
      <c r="M71" s="191">
        <f t="shared" si="11"/>
        <v>0</v>
      </c>
      <c r="N71" s="191">
        <f t="shared" si="11"/>
        <v>0</v>
      </c>
      <c r="O71" s="196">
        <f t="shared" si="11"/>
        <v>0</v>
      </c>
    </row>
    <row r="72" spans="2:15" ht="17.25" thickBot="1" x14ac:dyDescent="0.35">
      <c r="B72" s="3"/>
      <c r="C72" s="90"/>
      <c r="D72" s="90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2:15" ht="17.25" thickBot="1" x14ac:dyDescent="0.35">
      <c r="B73" s="187" t="s">
        <v>182</v>
      </c>
      <c r="C73" s="188">
        <f>SUM(D73:O73)</f>
        <v>81489.25</v>
      </c>
      <c r="D73" s="193">
        <f t="shared" ref="D73:O73" si="12">+D71+D69</f>
        <v>4350</v>
      </c>
      <c r="E73" s="193">
        <f t="shared" si="12"/>
        <v>11250</v>
      </c>
      <c r="F73" s="193">
        <f t="shared" si="12"/>
        <v>15310.000000000002</v>
      </c>
      <c r="G73" s="193">
        <f t="shared" si="12"/>
        <v>26513.5</v>
      </c>
      <c r="H73" s="193">
        <f t="shared" si="12"/>
        <v>13851.75</v>
      </c>
      <c r="I73" s="193">
        <f t="shared" si="12"/>
        <v>7967</v>
      </c>
      <c r="J73" s="193">
        <f t="shared" si="12"/>
        <v>714</v>
      </c>
      <c r="K73" s="193">
        <f t="shared" si="12"/>
        <v>220</v>
      </c>
      <c r="L73" s="193">
        <f t="shared" si="12"/>
        <v>270</v>
      </c>
      <c r="M73" s="193">
        <f t="shared" si="12"/>
        <v>396</v>
      </c>
      <c r="N73" s="193">
        <f t="shared" si="12"/>
        <v>388</v>
      </c>
      <c r="O73" s="194">
        <f t="shared" si="12"/>
        <v>259</v>
      </c>
    </row>
    <row r="74" spans="2:15" s="235" customFormat="1" x14ac:dyDescent="0.3">
      <c r="B74" s="282"/>
      <c r="C74" s="284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</row>
    <row r="75" spans="2:15" x14ac:dyDescent="0.3">
      <c r="B75" s="283" t="s">
        <v>230</v>
      </c>
      <c r="C75" s="192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</row>
    <row r="76" spans="2:15" x14ac:dyDescent="0.3">
      <c r="B76" s="149" t="s">
        <v>195</v>
      </c>
      <c r="C76" s="238">
        <v>2</v>
      </c>
      <c r="O76" s="151"/>
    </row>
    <row r="77" spans="2:15" ht="33.75" thickBot="1" x14ac:dyDescent="0.35">
      <c r="B77" s="162" t="s">
        <v>162</v>
      </c>
      <c r="C77" s="246">
        <f>SUM(D77:O77)</f>
        <v>2095</v>
      </c>
      <c r="D77" s="152">
        <v>50</v>
      </c>
      <c r="E77" s="152">
        <v>200</v>
      </c>
      <c r="F77" s="152">
        <v>310</v>
      </c>
      <c r="G77" s="152">
        <v>1005</v>
      </c>
      <c r="H77" s="152">
        <v>390</v>
      </c>
      <c r="I77" s="152">
        <v>20</v>
      </c>
      <c r="J77" s="152">
        <v>20</v>
      </c>
      <c r="K77" s="152">
        <v>20</v>
      </c>
      <c r="L77" s="152">
        <v>20</v>
      </c>
      <c r="M77" s="152">
        <v>20</v>
      </c>
      <c r="N77" s="152">
        <v>20</v>
      </c>
      <c r="O77" s="175">
        <v>20</v>
      </c>
    </row>
    <row r="78" spans="2:15" ht="17.25" thickBot="1" x14ac:dyDescent="0.35">
      <c r="B78" s="281"/>
      <c r="C78" s="192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</row>
    <row r="79" spans="2:15" x14ac:dyDescent="0.3">
      <c r="B79" s="176" t="s">
        <v>175</v>
      </c>
      <c r="C79" s="170"/>
      <c r="D79" s="170"/>
      <c r="E79" s="170"/>
      <c r="F79" s="170"/>
      <c r="G79" s="171"/>
      <c r="H79" s="170"/>
      <c r="I79" s="170"/>
      <c r="J79" s="170"/>
      <c r="K79" s="170"/>
      <c r="L79" s="170"/>
      <c r="M79" s="171"/>
      <c r="N79" s="170"/>
      <c r="O79" s="172"/>
    </row>
    <row r="80" spans="2:15" ht="17.25" thickBot="1" x14ac:dyDescent="0.35">
      <c r="B80" s="149" t="s">
        <v>196</v>
      </c>
      <c r="C80" s="152">
        <v>3</v>
      </c>
      <c r="D80" s="138" t="s">
        <v>19</v>
      </c>
      <c r="E80" s="138" t="s">
        <v>20</v>
      </c>
      <c r="F80" s="138" t="s">
        <v>82</v>
      </c>
      <c r="G80" s="139" t="s">
        <v>21</v>
      </c>
      <c r="H80" s="138" t="s">
        <v>22</v>
      </c>
      <c r="I80" s="138" t="s">
        <v>83</v>
      </c>
      <c r="J80" s="138" t="s">
        <v>23</v>
      </c>
      <c r="K80" s="138" t="s">
        <v>24</v>
      </c>
      <c r="L80" s="138" t="s">
        <v>25</v>
      </c>
      <c r="M80" s="139" t="s">
        <v>26</v>
      </c>
      <c r="N80" s="138" t="s">
        <v>27</v>
      </c>
      <c r="O80" s="140" t="s">
        <v>28</v>
      </c>
    </row>
    <row r="81" spans="1:15" ht="33.75" thickBot="1" x14ac:dyDescent="0.35">
      <c r="B81" s="162" t="s">
        <v>185</v>
      </c>
      <c r="C81" s="168">
        <f>SUM(D81:O81)</f>
        <v>2195</v>
      </c>
      <c r="D81" s="152">
        <v>100</v>
      </c>
      <c r="E81" s="152">
        <v>190</v>
      </c>
      <c r="F81" s="152">
        <v>290</v>
      </c>
      <c r="G81" s="152">
        <v>420</v>
      </c>
      <c r="H81" s="152">
        <v>500</v>
      </c>
      <c r="I81" s="152">
        <v>600</v>
      </c>
      <c r="J81" s="152">
        <v>45</v>
      </c>
      <c r="K81" s="152"/>
      <c r="L81" s="152">
        <v>50</v>
      </c>
      <c r="M81" s="152"/>
      <c r="N81" s="152"/>
      <c r="O81" s="175"/>
    </row>
    <row r="82" spans="1:15" ht="17.25" thickBot="1" x14ac:dyDescent="0.35">
      <c r="B82" s="153" t="s">
        <v>197</v>
      </c>
      <c r="C82" s="168">
        <f>+C80+C75</f>
        <v>3</v>
      </c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4"/>
    </row>
    <row r="83" spans="1:15" ht="17.25" thickBot="1" x14ac:dyDescent="0.35">
      <c r="B83" s="166"/>
    </row>
    <row r="84" spans="1:15" x14ac:dyDescent="0.3">
      <c r="A84" t="s">
        <v>179</v>
      </c>
      <c r="B84" s="173" t="s">
        <v>177</v>
      </c>
      <c r="C84" s="170" t="s">
        <v>169</v>
      </c>
      <c r="D84" s="170" t="s">
        <v>19</v>
      </c>
      <c r="E84" s="170" t="s">
        <v>20</v>
      </c>
      <c r="F84" s="170" t="s">
        <v>82</v>
      </c>
      <c r="G84" s="171" t="s">
        <v>21</v>
      </c>
      <c r="H84" s="170" t="s">
        <v>22</v>
      </c>
      <c r="I84" s="170" t="s">
        <v>83</v>
      </c>
      <c r="J84" s="170" t="s">
        <v>23</v>
      </c>
      <c r="K84" s="170" t="s">
        <v>24</v>
      </c>
      <c r="L84" s="170" t="s">
        <v>25</v>
      </c>
      <c r="M84" s="171" t="s">
        <v>26</v>
      </c>
      <c r="N84" s="170" t="s">
        <v>27</v>
      </c>
      <c r="O84" s="172" t="s">
        <v>28</v>
      </c>
    </row>
    <row r="85" spans="1:15" ht="17.25" thickBot="1" x14ac:dyDescent="0.35">
      <c r="B85" s="174" t="s">
        <v>173</v>
      </c>
      <c r="C85" s="168">
        <f>SUM(D85:O85)</f>
        <v>4290</v>
      </c>
      <c r="D85" s="168">
        <f>D81+D77</f>
        <v>150</v>
      </c>
      <c r="E85" s="168">
        <f t="shared" ref="E85:O85" si="13">E81+E77</f>
        <v>390</v>
      </c>
      <c r="F85" s="168">
        <f t="shared" si="13"/>
        <v>600</v>
      </c>
      <c r="G85" s="168">
        <f t="shared" si="13"/>
        <v>1425</v>
      </c>
      <c r="H85" s="168">
        <f t="shared" si="13"/>
        <v>890</v>
      </c>
      <c r="I85" s="168">
        <f t="shared" si="13"/>
        <v>620</v>
      </c>
      <c r="J85" s="168">
        <f t="shared" si="13"/>
        <v>65</v>
      </c>
      <c r="K85" s="168">
        <f t="shared" si="13"/>
        <v>20</v>
      </c>
      <c r="L85" s="168">
        <f t="shared" si="13"/>
        <v>70</v>
      </c>
      <c r="M85" s="168">
        <f t="shared" si="13"/>
        <v>20</v>
      </c>
      <c r="N85" s="168">
        <f t="shared" si="13"/>
        <v>20</v>
      </c>
      <c r="O85" s="168">
        <f t="shared" si="13"/>
        <v>20</v>
      </c>
    </row>
    <row r="86" spans="1:15" x14ac:dyDescent="0.3">
      <c r="B86" s="281"/>
      <c r="C86" s="192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</row>
    <row r="87" spans="1:15" x14ac:dyDescent="0.3">
      <c r="B87" s="281" t="s">
        <v>231</v>
      </c>
      <c r="C87" s="192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</row>
    <row r="88" spans="1:15" x14ac:dyDescent="0.3">
      <c r="B88" s="281" t="s">
        <v>232</v>
      </c>
      <c r="C88" s="192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</row>
    <row r="89" spans="1:15" x14ac:dyDescent="0.3">
      <c r="B89" s="281" t="s">
        <v>233</v>
      </c>
      <c r="C89" s="192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</row>
    <row r="90" spans="1:15" x14ac:dyDescent="0.3">
      <c r="B90" s="1"/>
      <c r="C90" s="1"/>
      <c r="D90" s="1"/>
      <c r="E90" s="1"/>
      <c r="F90" s="1"/>
      <c r="G90" s="1"/>
    </row>
    <row r="91" spans="1:15" ht="17.25" thickBot="1" x14ac:dyDescent="0.35">
      <c r="B91" s="118" t="s">
        <v>187</v>
      </c>
      <c r="C91" s="92"/>
      <c r="D91" s="1"/>
      <c r="E91" s="1"/>
      <c r="F91" s="1"/>
      <c r="G91" s="1"/>
    </row>
    <row r="92" spans="1:15" x14ac:dyDescent="0.3">
      <c r="B92" s="124" t="s">
        <v>132</v>
      </c>
      <c r="C92" s="94"/>
      <c r="D92" s="236" t="s">
        <v>163</v>
      </c>
      <c r="E92" s="109" t="s">
        <v>108</v>
      </c>
      <c r="F92" s="236" t="s">
        <v>164</v>
      </c>
      <c r="G92" s="95" t="s">
        <v>108</v>
      </c>
      <c r="H92" s="199" t="s">
        <v>166</v>
      </c>
      <c r="I92" s="237" t="s">
        <v>188</v>
      </c>
      <c r="J92" s="95" t="s">
        <v>191</v>
      </c>
      <c r="K92" s="200" t="s">
        <v>108</v>
      </c>
    </row>
    <row r="93" spans="1:15" x14ac:dyDescent="0.3">
      <c r="B93" s="3" t="s">
        <v>192</v>
      </c>
      <c r="C93" s="210"/>
      <c r="D93" s="212">
        <f>C28</f>
        <v>1142.5</v>
      </c>
      <c r="E93" s="25"/>
      <c r="F93" s="212">
        <f>C29</f>
        <v>952.5</v>
      </c>
      <c r="G93" s="25"/>
      <c r="H93" s="221"/>
      <c r="I93" s="221">
        <f>F93+D93</f>
        <v>2095</v>
      </c>
      <c r="J93" s="223">
        <f>I93/C$33</f>
        <v>1047.5</v>
      </c>
      <c r="K93" s="222"/>
    </row>
    <row r="94" spans="1:15" x14ac:dyDescent="0.3">
      <c r="B94" s="3" t="s">
        <v>17</v>
      </c>
      <c r="C94" s="210"/>
      <c r="D94" s="225">
        <f>C65/D93</f>
        <v>20.104595185995624</v>
      </c>
      <c r="E94" s="25"/>
      <c r="F94" s="225">
        <f>C66/F93</f>
        <v>19.469553805774279</v>
      </c>
      <c r="G94" s="25"/>
      <c r="H94" s="221"/>
      <c r="I94" s="228">
        <f>C69/I93</f>
        <v>19.815871121718377</v>
      </c>
      <c r="J94" s="226">
        <f>I94</f>
        <v>19.815871121718377</v>
      </c>
      <c r="K94" s="222"/>
    </row>
    <row r="95" spans="1:15" x14ac:dyDescent="0.3">
      <c r="A95">
        <v>1</v>
      </c>
      <c r="B95" s="124" t="s">
        <v>194</v>
      </c>
      <c r="C95" s="11"/>
      <c r="D95" s="98">
        <f>+D94*D93</f>
        <v>22969.5</v>
      </c>
      <c r="E95" s="198">
        <f>D94</f>
        <v>20.104595185995624</v>
      </c>
      <c r="F95" s="98">
        <f>+F94*F93</f>
        <v>18544.75</v>
      </c>
      <c r="G95" s="198">
        <f>F94</f>
        <v>19.469553805774279</v>
      </c>
      <c r="H95" s="149"/>
      <c r="I95" s="229">
        <f>D95+F95</f>
        <v>41514.25</v>
      </c>
      <c r="J95" s="163">
        <f>I95/C$33</f>
        <v>20757.125</v>
      </c>
      <c r="K95" s="201">
        <f>I95/C$32</f>
        <v>19.815871121718377</v>
      </c>
    </row>
    <row r="96" spans="1:15" x14ac:dyDescent="0.3">
      <c r="B96" s="3"/>
      <c r="C96" s="7"/>
      <c r="D96" s="1"/>
      <c r="E96" s="1"/>
      <c r="F96" s="1"/>
      <c r="G96" s="1"/>
      <c r="H96" s="149"/>
      <c r="I96" s="149"/>
      <c r="J96" t="s">
        <v>85</v>
      </c>
      <c r="K96" s="151"/>
    </row>
    <row r="97" spans="1:12" x14ac:dyDescent="0.3">
      <c r="B97" s="124" t="s">
        <v>12</v>
      </c>
      <c r="C97" s="7"/>
      <c r="D97" s="24"/>
      <c r="E97" s="24"/>
      <c r="F97" s="24"/>
      <c r="G97" s="24"/>
      <c r="H97" s="149"/>
      <c r="I97" s="149"/>
      <c r="K97" s="151"/>
    </row>
    <row r="98" spans="1:12" x14ac:dyDescent="0.3">
      <c r="B98" s="3" t="s">
        <v>41</v>
      </c>
      <c r="C98" s="70"/>
      <c r="D98" s="202">
        <f>((C152*'Fleet Data Input and Reports '!K37*'Fleet Data Input and Reports '!G37)/'Boat GMS'!H11)+(('Boat GMS'!D153*'Fleet Data Input and Reports '!K36*'Fleet Data Input and Reports '!G36)/'Boat GMS'!H12)+('Boat GMS'!E154*'Fleet Data Input and Reports '!K35*'Fleet Data Input and Reports '!G35)</f>
        <v>208.27202887819325</v>
      </c>
      <c r="E98" s="198">
        <f>D98/$C$28</f>
        <v>0.18229499245356084</v>
      </c>
      <c r="F98" s="202">
        <f>((C152*'Fleet Data Input and Reports '!K37*'Fleet Data Input and Reports '!G37)/'Boat GMS'!H11)+(('Boat GMS'!D153*'Fleet Data Input and Reports '!K36*'Fleet Data Input and Reports '!G36)/'Boat GMS'!H12)+('Boat GMS'!F154*'Fleet Data Input and Reports '!K35*'Fleet Data Input and Reports '!G35)</f>
        <v>208.27202887819325</v>
      </c>
      <c r="G98" s="198">
        <f>F98/$C$29</f>
        <v>0.21865829803484857</v>
      </c>
      <c r="H98" s="149"/>
      <c r="I98" s="229">
        <f t="shared" ref="I98:I106" si="14">D98+F98</f>
        <v>416.54405775638651</v>
      </c>
      <c r="J98" s="224">
        <f>I98/C$33</f>
        <v>208.27202887819325</v>
      </c>
      <c r="K98" s="201">
        <f t="shared" ref="K98:K106" si="15">I98/C$32</f>
        <v>0.1988277125328814</v>
      </c>
    </row>
    <row r="99" spans="1:12" x14ac:dyDescent="0.3">
      <c r="B99" s="3" t="s">
        <v>84</v>
      </c>
      <c r="C99" s="70"/>
      <c r="D99" s="202">
        <f>((C152*'Fleet Data Input and Reports '!L37)/'Boat GMS'!H11)+(('Boat GMS'!D153*'Fleet Data Input and Reports '!L36)/'Boat GMS'!H12)+('Boat GMS'!E154*'Fleet Data Input and Reports '!L35)</f>
        <v>104.09909909909909</v>
      </c>
      <c r="E99" s="198">
        <f t="shared" ref="E99:E106" si="16">D99/C$28</f>
        <v>9.1115185207088917E-2</v>
      </c>
      <c r="F99" s="202">
        <f>((C152*'Fleet Data Input and Reports '!L37)/'Boat GMS'!H11)+(('Boat GMS'!D153*'Fleet Data Input and Reports '!L36)/'Boat GMS'!H12)+('Boat GMS'!F154*'Fleet Data Input and Reports '!L35)</f>
        <v>104.09909909909909</v>
      </c>
      <c r="G99" s="198">
        <f t="shared" ref="G99:G106" si="17">F99/$C$29</f>
        <v>0.10929039275495968</v>
      </c>
      <c r="H99" s="149"/>
      <c r="I99" s="229">
        <f t="shared" si="14"/>
        <v>208.19819819819818</v>
      </c>
      <c r="J99" s="224">
        <f t="shared" ref="J99:J106" si="18">I99/C$33</f>
        <v>104.09909909909909</v>
      </c>
      <c r="K99" s="201">
        <f t="shared" si="15"/>
        <v>9.9378614891741379E-2</v>
      </c>
    </row>
    <row r="100" spans="1:12" x14ac:dyDescent="0.3">
      <c r="B100" s="8" t="s">
        <v>42</v>
      </c>
      <c r="C100" s="70"/>
      <c r="D100" s="98">
        <f>'Fleet Data Input and Reports '!$D117</f>
        <v>15.464460784313726</v>
      </c>
      <c r="E100" s="198">
        <f t="shared" si="16"/>
        <v>1.3535633071609389E-2</v>
      </c>
      <c r="F100" s="98">
        <f>'Fleet Data Input and Reports '!$D117</f>
        <v>15.464460784313726</v>
      </c>
      <c r="G100" s="198">
        <f t="shared" si="17"/>
        <v>1.6235654366733569E-2</v>
      </c>
      <c r="H100" s="149"/>
      <c r="I100" s="229">
        <f t="shared" si="14"/>
        <v>30.928921568627452</v>
      </c>
      <c r="J100" s="224">
        <f t="shared" si="18"/>
        <v>15.464460784313726</v>
      </c>
      <c r="K100" s="201">
        <f t="shared" si="15"/>
        <v>1.4763208385979691E-2</v>
      </c>
    </row>
    <row r="101" spans="1:12" x14ac:dyDescent="0.3">
      <c r="B101" s="3" t="s">
        <v>43</v>
      </c>
      <c r="C101" s="70"/>
      <c r="D101" s="98">
        <f>'Fleet Data Input and Reports '!$D118</f>
        <v>22.069894547325106</v>
      </c>
      <c r="E101" s="198">
        <f t="shared" si="16"/>
        <v>1.9317194352144514E-2</v>
      </c>
      <c r="F101" s="98">
        <f>'Fleet Data Input and Reports '!$D118</f>
        <v>22.069894547325106</v>
      </c>
      <c r="G101" s="198">
        <f t="shared" si="17"/>
        <v>2.3170492963070978E-2</v>
      </c>
      <c r="H101" s="149"/>
      <c r="I101" s="229">
        <f t="shared" si="14"/>
        <v>44.139789094650212</v>
      </c>
      <c r="J101" s="224">
        <f t="shared" si="18"/>
        <v>22.069894547325106</v>
      </c>
      <c r="K101" s="201">
        <f t="shared" si="15"/>
        <v>2.1069111739689839E-2</v>
      </c>
    </row>
    <row r="102" spans="1:12" x14ac:dyDescent="0.3">
      <c r="B102" s="3" t="s">
        <v>46</v>
      </c>
      <c r="C102" s="70"/>
      <c r="D102" s="98">
        <f>'Fleet Data Input and Reports '!$D119</f>
        <v>1.9731753812636168</v>
      </c>
      <c r="E102" s="198">
        <f t="shared" si="16"/>
        <v>1.7270681674079796E-3</v>
      </c>
      <c r="F102" s="98">
        <f>'Fleet Data Input and Reports '!$D119</f>
        <v>1.9731753812636168</v>
      </c>
      <c r="G102" s="198">
        <f t="shared" si="17"/>
        <v>2.0715752034263695E-3</v>
      </c>
      <c r="H102" s="149"/>
      <c r="I102" s="229">
        <f t="shared" si="14"/>
        <v>3.9463507625272336</v>
      </c>
      <c r="J102" s="224">
        <f t="shared" si="18"/>
        <v>1.9731753812636168</v>
      </c>
      <c r="K102" s="201">
        <f t="shared" si="15"/>
        <v>1.8836996479843597E-3</v>
      </c>
    </row>
    <row r="103" spans="1:12" x14ac:dyDescent="0.3">
      <c r="B103" s="3" t="s">
        <v>102</v>
      </c>
      <c r="C103" s="70"/>
      <c r="D103" s="98">
        <f>'Fleet Data Input and Reports '!$D120</f>
        <v>0</v>
      </c>
      <c r="E103" s="198">
        <f t="shared" si="16"/>
        <v>0</v>
      </c>
      <c r="F103" s="98">
        <f>'Fleet Data Input and Reports '!$D120</f>
        <v>0</v>
      </c>
      <c r="G103" s="198">
        <f t="shared" si="17"/>
        <v>0</v>
      </c>
      <c r="H103" s="149"/>
      <c r="I103" s="229">
        <f t="shared" si="14"/>
        <v>0</v>
      </c>
      <c r="J103" s="224">
        <f t="shared" si="18"/>
        <v>0</v>
      </c>
      <c r="K103" s="201">
        <f t="shared" si="15"/>
        <v>0</v>
      </c>
    </row>
    <row r="104" spans="1:12" x14ac:dyDescent="0.3">
      <c r="B104" s="3" t="s">
        <v>8</v>
      </c>
      <c r="C104" s="98"/>
      <c r="D104" s="202">
        <f>$C28/'Fleet Data Input and Reports '!$D25*'Fleet Data Input and Reports '!$E25</f>
        <v>331.32499999999999</v>
      </c>
      <c r="E104" s="198">
        <f t="shared" si="16"/>
        <v>0.28999999999999998</v>
      </c>
      <c r="F104" s="202">
        <f>$C29/'Fleet Data Input and Reports '!$D25*'Fleet Data Input and Reports '!$E25</f>
        <v>276.22499999999997</v>
      </c>
      <c r="G104" s="198">
        <f t="shared" si="17"/>
        <v>0.28999999999999998</v>
      </c>
      <c r="H104" s="149"/>
      <c r="I104" s="229">
        <f t="shared" si="14"/>
        <v>607.54999999999995</v>
      </c>
      <c r="J104" s="224">
        <f t="shared" si="18"/>
        <v>303.77499999999998</v>
      </c>
      <c r="K104" s="201">
        <f t="shared" si="15"/>
        <v>0.28999999999999998</v>
      </c>
    </row>
    <row r="105" spans="1:12" x14ac:dyDescent="0.3">
      <c r="B105" s="3" t="s">
        <v>44</v>
      </c>
      <c r="C105" s="98"/>
      <c r="D105" s="202">
        <f>D95*('Fleet Data Input and Reports '!$E29+'Fleet Data Input and Reports '!$E30)</f>
        <v>7896.4763975105852</v>
      </c>
      <c r="E105" s="198">
        <f t="shared" si="16"/>
        <v>6.9115767155453698</v>
      </c>
      <c r="F105" s="202">
        <f>F95*('Fleet Data Input and Reports '!$E29+'Fleet Data Input and Reports '!$E30)</f>
        <v>6375.3316647177526</v>
      </c>
      <c r="G105" s="198">
        <f t="shared" si="17"/>
        <v>6.693261590254858</v>
      </c>
      <c r="H105" s="149"/>
      <c r="I105" s="229">
        <f t="shared" si="14"/>
        <v>14271.808062228338</v>
      </c>
      <c r="J105" s="224">
        <f t="shared" si="18"/>
        <v>7135.9040311141689</v>
      </c>
      <c r="K105" s="201">
        <f t="shared" si="15"/>
        <v>6.8123188841185387</v>
      </c>
    </row>
    <row r="106" spans="1:12" ht="17.25" thickBot="1" x14ac:dyDescent="0.35">
      <c r="B106" s="8" t="s">
        <v>87</v>
      </c>
      <c r="C106" s="98"/>
      <c r="D106" s="202">
        <f>D95*'Fleet Data Input and Reports '!$E31</f>
        <v>187.94890301917104</v>
      </c>
      <c r="E106" s="198">
        <f t="shared" si="16"/>
        <v>0.16450669848505123</v>
      </c>
      <c r="F106" s="202">
        <f>F95*'Fleet Data Input and Reports '!$E31</f>
        <v>151.74319942814481</v>
      </c>
      <c r="G106" s="198">
        <f t="shared" si="17"/>
        <v>0.15931044559385282</v>
      </c>
      <c r="H106" s="149"/>
      <c r="I106" s="229">
        <f t="shared" si="14"/>
        <v>339.69210244731585</v>
      </c>
      <c r="J106" s="224">
        <f t="shared" si="18"/>
        <v>169.84605122365792</v>
      </c>
      <c r="K106" s="201">
        <f t="shared" si="15"/>
        <v>0.16214420164549681</v>
      </c>
    </row>
    <row r="107" spans="1:12" s="209" customFormat="1" ht="17.25" thickBot="1" x14ac:dyDescent="0.35">
      <c r="A107" s="204">
        <v>3</v>
      </c>
      <c r="B107" s="205" t="s">
        <v>48</v>
      </c>
      <c r="C107" s="206"/>
      <c r="D107" s="207">
        <f>SUM(D98:D106)</f>
        <v>8767.62895921995</v>
      </c>
      <c r="E107" s="208">
        <f t="shared" ref="E107:G107" si="19">SUM(E98:E106)</f>
        <v>7.6740734872822332</v>
      </c>
      <c r="F107" s="207">
        <f t="shared" si="19"/>
        <v>7155.1785228360923</v>
      </c>
      <c r="G107" s="208">
        <f t="shared" si="19"/>
        <v>7.5119984491717506</v>
      </c>
      <c r="H107" s="204"/>
      <c r="I107" s="230">
        <f>SUM(I98:I106)</f>
        <v>15922.807482056043</v>
      </c>
      <c r="J107" s="207">
        <f>SUM(J98:J106)</f>
        <v>7961.4037410280216</v>
      </c>
      <c r="K107" s="231">
        <f>SUM(K98:K106)</f>
        <v>7.6003854329623124</v>
      </c>
      <c r="L107" s="209" t="s">
        <v>85</v>
      </c>
    </row>
    <row r="108" spans="1:12" x14ac:dyDescent="0.3">
      <c r="B108" s="5"/>
      <c r="C108" s="89"/>
      <c r="D108" s="24"/>
      <c r="E108" s="24"/>
      <c r="F108" s="24"/>
      <c r="G108" s="24"/>
      <c r="H108" s="149"/>
      <c r="I108" s="149"/>
      <c r="K108" s="151"/>
    </row>
    <row r="109" spans="1:12" ht="17.25" thickBot="1" x14ac:dyDescent="0.35">
      <c r="B109" s="125" t="s">
        <v>190</v>
      </c>
      <c r="C109" s="22"/>
      <c r="D109" s="21">
        <f>D95-D107</f>
        <v>14201.87104078005</v>
      </c>
      <c r="E109" s="19">
        <f>E95-E107</f>
        <v>12.430521698713392</v>
      </c>
      <c r="F109" s="21">
        <f t="shared" ref="F109:K109" si="20">F95-F107</f>
        <v>11389.571477163907</v>
      </c>
      <c r="G109" s="19">
        <f t="shared" si="20"/>
        <v>11.957555356602528</v>
      </c>
      <c r="H109" s="165"/>
      <c r="I109" s="232">
        <f t="shared" si="20"/>
        <v>25591.442517943957</v>
      </c>
      <c r="J109" s="233">
        <f t="shared" si="20"/>
        <v>12795.721258971978</v>
      </c>
      <c r="K109" s="234">
        <f t="shared" si="20"/>
        <v>12.215485688756065</v>
      </c>
    </row>
    <row r="110" spans="1:12" x14ac:dyDescent="0.3">
      <c r="E110" s="235" t="s">
        <v>199</v>
      </c>
      <c r="G110" s="235" t="s">
        <v>199</v>
      </c>
    </row>
    <row r="111" spans="1:12" x14ac:dyDescent="0.3">
      <c r="B111" s="227" t="s">
        <v>198</v>
      </c>
    </row>
    <row r="113" spans="2:6" ht="17.25" thickBot="1" x14ac:dyDescent="0.35">
      <c r="B113" s="118" t="s">
        <v>200</v>
      </c>
    </row>
    <row r="114" spans="2:6" x14ac:dyDescent="0.3">
      <c r="B114" s="124" t="s">
        <v>132</v>
      </c>
      <c r="D114" s="199" t="s">
        <v>202</v>
      </c>
      <c r="E114" s="95" t="s">
        <v>191</v>
      </c>
      <c r="F114" s="200" t="s">
        <v>108</v>
      </c>
    </row>
    <row r="115" spans="2:6" ht="33" x14ac:dyDescent="0.3">
      <c r="B115" s="3" t="s">
        <v>192</v>
      </c>
      <c r="D115" s="255" t="s">
        <v>201</v>
      </c>
      <c r="E115" s="256" t="s">
        <v>205</v>
      </c>
      <c r="F115" s="257"/>
    </row>
    <row r="116" spans="2:6" x14ac:dyDescent="0.3">
      <c r="B116" s="3" t="s">
        <v>17</v>
      </c>
      <c r="D116" s="255" t="s">
        <v>206</v>
      </c>
      <c r="E116" s="255" t="s">
        <v>206</v>
      </c>
      <c r="F116" s="255" t="s">
        <v>85</v>
      </c>
    </row>
    <row r="117" spans="2:6" ht="33" x14ac:dyDescent="0.3">
      <c r="B117" s="124" t="s">
        <v>194</v>
      </c>
      <c r="D117" s="251" t="s">
        <v>201</v>
      </c>
      <c r="E117" s="256" t="s">
        <v>205</v>
      </c>
      <c r="F117" s="255" t="s">
        <v>206</v>
      </c>
    </row>
    <row r="118" spans="2:6" x14ac:dyDescent="0.3">
      <c r="B118" s="3"/>
      <c r="D118" s="149" t="s">
        <v>85</v>
      </c>
      <c r="F118" s="151"/>
    </row>
    <row r="119" spans="2:6" x14ac:dyDescent="0.3">
      <c r="B119" s="124" t="s">
        <v>12</v>
      </c>
      <c r="D119" s="149"/>
      <c r="F119" s="151"/>
    </row>
    <row r="120" spans="2:6" x14ac:dyDescent="0.3">
      <c r="B120" s="3" t="s">
        <v>41</v>
      </c>
      <c r="D120" s="367" t="s">
        <v>201</v>
      </c>
      <c r="E120" s="224" t="s">
        <v>203</v>
      </c>
      <c r="F120" s="224" t="s">
        <v>207</v>
      </c>
    </row>
    <row r="121" spans="2:6" x14ac:dyDescent="0.3">
      <c r="B121" s="3" t="s">
        <v>84</v>
      </c>
      <c r="D121" s="367" t="s">
        <v>201</v>
      </c>
      <c r="E121" s="258" t="s">
        <v>204</v>
      </c>
      <c r="F121" s="258" t="s">
        <v>204</v>
      </c>
    </row>
    <row r="122" spans="2:6" x14ac:dyDescent="0.3">
      <c r="B122" s="8" t="s">
        <v>42</v>
      </c>
      <c r="D122" s="251" t="s">
        <v>201</v>
      </c>
      <c r="E122" s="258" t="s">
        <v>204</v>
      </c>
      <c r="F122" s="258" t="s">
        <v>204</v>
      </c>
    </row>
    <row r="123" spans="2:6" x14ac:dyDescent="0.3">
      <c r="B123" s="3" t="s">
        <v>43</v>
      </c>
      <c r="D123" s="251" t="s">
        <v>201</v>
      </c>
      <c r="E123" s="258" t="s">
        <v>204</v>
      </c>
      <c r="F123" s="258" t="s">
        <v>204</v>
      </c>
    </row>
    <row r="124" spans="2:6" x14ac:dyDescent="0.3">
      <c r="B124" s="3" t="s">
        <v>46</v>
      </c>
      <c r="D124" s="251" t="s">
        <v>201</v>
      </c>
      <c r="E124" s="258" t="s">
        <v>204</v>
      </c>
      <c r="F124" s="258" t="s">
        <v>204</v>
      </c>
    </row>
    <row r="125" spans="2:6" x14ac:dyDescent="0.3">
      <c r="B125" s="3" t="s">
        <v>102</v>
      </c>
      <c r="D125" s="251" t="s">
        <v>201</v>
      </c>
      <c r="E125" s="258" t="s">
        <v>204</v>
      </c>
      <c r="F125" s="258" t="s">
        <v>204</v>
      </c>
    </row>
    <row r="126" spans="2:6" x14ac:dyDescent="0.3">
      <c r="B126" s="3" t="s">
        <v>8</v>
      </c>
      <c r="D126" s="251" t="s">
        <v>201</v>
      </c>
      <c r="E126" s="258" t="s">
        <v>204</v>
      </c>
      <c r="F126" s="258" t="s">
        <v>204</v>
      </c>
    </row>
    <row r="127" spans="2:6" x14ac:dyDescent="0.3">
      <c r="B127" s="3" t="s">
        <v>44</v>
      </c>
      <c r="D127" s="251" t="s">
        <v>201</v>
      </c>
      <c r="E127" s="258" t="s">
        <v>204</v>
      </c>
      <c r="F127" s="258" t="s">
        <v>204</v>
      </c>
    </row>
    <row r="128" spans="2:6" ht="17.25" thickBot="1" x14ac:dyDescent="0.35">
      <c r="B128" s="8" t="s">
        <v>87</v>
      </c>
      <c r="D128" s="251" t="s">
        <v>201</v>
      </c>
      <c r="E128" s="258" t="s">
        <v>204</v>
      </c>
      <c r="F128" s="258" t="s">
        <v>204</v>
      </c>
    </row>
    <row r="129" spans="2:6" ht="17.25" thickBot="1" x14ac:dyDescent="0.35">
      <c r="B129" s="205" t="s">
        <v>48</v>
      </c>
      <c r="D129" s="230">
        <f>SUM(D120:D128)</f>
        <v>0</v>
      </c>
      <c r="E129" s="207">
        <f>SUM(E120:E128)</f>
        <v>0</v>
      </c>
      <c r="F129" s="231">
        <f>SUM(F120:F128)</f>
        <v>0</v>
      </c>
    </row>
    <row r="130" spans="2:6" x14ac:dyDescent="0.3">
      <c r="B130" s="5"/>
      <c r="D130" s="149"/>
      <c r="F130" s="151"/>
    </row>
    <row r="131" spans="2:6" ht="17.25" thickBot="1" x14ac:dyDescent="0.35">
      <c r="B131" s="125" t="s">
        <v>190</v>
      </c>
      <c r="D131" s="232" t="e">
        <f t="shared" ref="D131:E131" si="21">D117-D129</f>
        <v>#VALUE!</v>
      </c>
      <c r="E131" s="233" t="e">
        <f t="shared" si="21"/>
        <v>#VALUE!</v>
      </c>
      <c r="F131" s="234" t="e">
        <f>F117-F129</f>
        <v>#VALUE!</v>
      </c>
    </row>
    <row r="132" spans="2:6" ht="17.25" thickBot="1" x14ac:dyDescent="0.35"/>
    <row r="133" spans="2:6" x14ac:dyDescent="0.3">
      <c r="B133" s="71" t="s">
        <v>209</v>
      </c>
      <c r="C133" s="72"/>
    </row>
    <row r="134" spans="2:6" x14ac:dyDescent="0.3">
      <c r="B134" s="122" t="s">
        <v>136</v>
      </c>
      <c r="C134" s="75"/>
    </row>
    <row r="135" spans="2:6" x14ac:dyDescent="0.3">
      <c r="B135" s="27" t="s">
        <v>36</v>
      </c>
      <c r="C135" s="74" t="e">
        <f>#REF!*#REF!</f>
        <v>#REF!</v>
      </c>
    </row>
    <row r="136" spans="2:6" x14ac:dyDescent="0.3">
      <c r="B136" s="27" t="s">
        <v>112</v>
      </c>
      <c r="C136" s="76" t="e">
        <f>#REF!*6</f>
        <v>#REF!</v>
      </c>
    </row>
    <row r="137" spans="2:6" x14ac:dyDescent="0.3">
      <c r="B137" s="27" t="s">
        <v>114</v>
      </c>
      <c r="C137" s="76" t="e">
        <f>#REF!*#REF!*#REF!</f>
        <v>#REF!</v>
      </c>
    </row>
    <row r="138" spans="2:6" ht="17.25" thickBot="1" x14ac:dyDescent="0.35">
      <c r="B138" s="28" t="s">
        <v>111</v>
      </c>
      <c r="C138" s="77" t="e">
        <f>#REF!*#REF!*#REF!*#REF!</f>
        <v>#REF!</v>
      </c>
    </row>
    <row r="139" spans="2:6" x14ac:dyDescent="0.3">
      <c r="B139" s="123" t="s">
        <v>137</v>
      </c>
      <c r="C139" s="72"/>
    </row>
    <row r="140" spans="2:6" x14ac:dyDescent="0.3">
      <c r="B140" s="27" t="s">
        <v>110</v>
      </c>
      <c r="C140" s="73" t="e">
        <f>#REF!*1000/#REF!</f>
        <v>#REF!</v>
      </c>
    </row>
    <row r="141" spans="2:6" x14ac:dyDescent="0.3">
      <c r="B141" s="27" t="s">
        <v>115</v>
      </c>
      <c r="C141" s="74" t="e">
        <f>C140*#REF!</f>
        <v>#REF!</v>
      </c>
    </row>
    <row r="142" spans="2:6" x14ac:dyDescent="0.3">
      <c r="B142" s="27" t="s">
        <v>95</v>
      </c>
      <c r="C142" s="73" t="e">
        <f>#REF!*#REF!*#REF!</f>
        <v>#REF!</v>
      </c>
    </row>
    <row r="143" spans="2:6" x14ac:dyDescent="0.3">
      <c r="B143" s="27" t="s">
        <v>93</v>
      </c>
      <c r="C143" s="73" t="e">
        <f>#REF!*#REF!</f>
        <v>#REF!</v>
      </c>
    </row>
    <row r="144" spans="2:6" x14ac:dyDescent="0.3">
      <c r="B144" s="27" t="s">
        <v>138</v>
      </c>
      <c r="C144" s="73">
        <f>D109</f>
        <v>14201.87104078005</v>
      </c>
    </row>
    <row r="145" spans="2:9" x14ac:dyDescent="0.3">
      <c r="B145" s="27" t="s">
        <v>139</v>
      </c>
      <c r="C145" s="74">
        <f>E109</f>
        <v>12.430521698713392</v>
      </c>
    </row>
    <row r="146" spans="2:9" x14ac:dyDescent="0.3">
      <c r="B146" s="27" t="s">
        <v>140</v>
      </c>
      <c r="C146" s="74">
        <f>F109</f>
        <v>11389.571477163907</v>
      </c>
    </row>
    <row r="147" spans="2:9" x14ac:dyDescent="0.3">
      <c r="B147" s="27" t="s">
        <v>141</v>
      </c>
      <c r="C147" s="80">
        <f>G109</f>
        <v>11.957555356602528</v>
      </c>
    </row>
    <row r="148" spans="2:9" ht="17.25" thickBot="1" x14ac:dyDescent="0.35">
      <c r="B148" s="28" t="s">
        <v>142</v>
      </c>
      <c r="C148" s="105">
        <f>C109</f>
        <v>0</v>
      </c>
    </row>
    <row r="149" spans="2:9" ht="17.25" thickBot="1" x14ac:dyDescent="0.35"/>
    <row r="150" spans="2:9" x14ac:dyDescent="0.3">
      <c r="B150" s="164"/>
      <c r="C150" s="360" t="s">
        <v>280</v>
      </c>
      <c r="D150" s="360"/>
      <c r="E150" s="360"/>
      <c r="F150" s="360"/>
      <c r="G150" s="147"/>
      <c r="H150" s="147"/>
      <c r="I150" s="148"/>
    </row>
    <row r="151" spans="2:9" x14ac:dyDescent="0.3">
      <c r="B151" s="149"/>
      <c r="C151" s="361" t="s">
        <v>202</v>
      </c>
      <c r="D151" s="361" t="s">
        <v>281</v>
      </c>
      <c r="E151" s="361" t="s">
        <v>163</v>
      </c>
      <c r="F151" s="361" t="s">
        <v>282</v>
      </c>
      <c r="G151" s="361" t="s">
        <v>283</v>
      </c>
      <c r="H151" s="361" t="s">
        <v>163</v>
      </c>
      <c r="I151" s="362" t="s">
        <v>164</v>
      </c>
    </row>
    <row r="152" spans="2:9" x14ac:dyDescent="0.3">
      <c r="B152" s="251" t="s">
        <v>284</v>
      </c>
      <c r="C152" s="145">
        <f>(C12-C11)+(D11-D15)</f>
        <v>164</v>
      </c>
      <c r="I152" s="151"/>
    </row>
    <row r="153" spans="2:9" x14ac:dyDescent="0.3">
      <c r="B153" s="251" t="s">
        <v>285</v>
      </c>
      <c r="C153" s="145">
        <f>(C13-C12)+(C14-D13)+(C15-D12)+(C16-C15)+(C17-D16)</f>
        <v>28</v>
      </c>
      <c r="D153" s="145">
        <f>(C13-C12)+(C14-D13)</f>
        <v>14</v>
      </c>
      <c r="G153" s="145">
        <f>(C15-D12)+(C16-C15)+(C17-D16)</f>
        <v>14</v>
      </c>
      <c r="I153" s="151"/>
    </row>
    <row r="154" spans="2:9" ht="17.25" thickBot="1" x14ac:dyDescent="0.35">
      <c r="B154" s="363" t="s">
        <v>286</v>
      </c>
      <c r="C154" s="168">
        <f>(D13-C13)+(D14-C14)+(D16-C16)+(D17-C17)</f>
        <v>8</v>
      </c>
      <c r="D154" s="168">
        <f>(D13-C13)+(D14-C14)</f>
        <v>4</v>
      </c>
      <c r="E154" s="168">
        <f>(D13-C13)</f>
        <v>2</v>
      </c>
      <c r="F154" s="168">
        <f>(D14-C14)</f>
        <v>2</v>
      </c>
      <c r="G154" s="168">
        <f>(D16-C16)+(D17-C17)</f>
        <v>4</v>
      </c>
      <c r="H154" s="168">
        <f>(D16-C16)</f>
        <v>2</v>
      </c>
      <c r="I154" s="169">
        <f>(D17-C17)</f>
        <v>2</v>
      </c>
    </row>
    <row r="156" spans="2:9" x14ac:dyDescent="0.3">
      <c r="C156" t="s">
        <v>202</v>
      </c>
      <c r="D156" t="s">
        <v>287</v>
      </c>
    </row>
    <row r="157" spans="2:9" x14ac:dyDescent="0.3">
      <c r="C157" t="s">
        <v>288</v>
      </c>
      <c r="D157" t="s">
        <v>289</v>
      </c>
    </row>
    <row r="158" spans="2:9" x14ac:dyDescent="0.3">
      <c r="C158" t="s">
        <v>290</v>
      </c>
      <c r="D158" t="s">
        <v>291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Fleet Data Input and Reports </vt:lpstr>
      <vt:lpstr>Survey Shots Data and Results </vt:lpstr>
      <vt:lpstr>Boat data input &amp; Reports  </vt:lpstr>
      <vt:lpstr>Boat GMS</vt:lpstr>
    </vt:vector>
  </TitlesOfParts>
  <Company>BDO (Aus)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Carlin</dc:creator>
  <cp:lastModifiedBy>Roger Edwards</cp:lastModifiedBy>
  <dcterms:created xsi:type="dcterms:W3CDTF">2016-06-07T01:25:14Z</dcterms:created>
  <dcterms:modified xsi:type="dcterms:W3CDTF">2023-11-08T00:30:46Z</dcterms:modified>
</cp:coreProperties>
</file>